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georg\AppData\Local\Temp\harla-fm-pool\"/>
    </mc:Choice>
  </mc:AlternateContent>
  <xr:revisionPtr revIDLastSave="0" documentId="13_ncr:1_{F04DEDDF-B598-4917-AE46-5741C0E9C8C9}" xr6:coauthVersionLast="47" xr6:coauthVersionMax="47" xr10:uidLastSave="{00000000-0000-0000-0000-000000000000}"/>
  <bookViews>
    <workbookView xWindow="-120" yWindow="-120" windowWidth="29040" windowHeight="15720" tabRatio="500" activeTab="2" xr2:uid="{00000000-000D-0000-FFFF-FFFF00000000}"/>
  </bookViews>
  <sheets>
    <sheet name="Read Me" sheetId="1" r:id="rId1"/>
    <sheet name="Summary" sheetId="2" r:id="rId2"/>
    <sheet name="Milestones" sheetId="3" r:id="rId3"/>
    <sheet name="Assumptions" sheetId="4" r:id="rId4"/>
    <sheet name="Model" sheetId="5" r:id="rId5"/>
    <sheet name="Model – Delay" sheetId="6" r:id="rId6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L29" i="6" l="1"/>
  <c r="AK29" i="6"/>
  <c r="AJ29" i="6"/>
  <c r="AI29" i="6"/>
  <c r="AH29" i="6"/>
  <c r="AG29" i="6"/>
  <c r="AF29" i="6"/>
  <c r="AE29" i="6"/>
  <c r="AD29" i="6"/>
  <c r="AC29" i="6"/>
  <c r="AB29" i="6"/>
  <c r="AA29" i="6"/>
  <c r="Z29" i="6"/>
  <c r="Y29" i="6"/>
  <c r="X29" i="6"/>
  <c r="W29" i="6"/>
  <c r="V29" i="6"/>
  <c r="U29" i="6"/>
  <c r="T29" i="6"/>
  <c r="S29" i="6"/>
  <c r="R29" i="6"/>
  <c r="Q29" i="6"/>
  <c r="P29" i="6"/>
  <c r="O29" i="6"/>
  <c r="N29" i="6"/>
  <c r="M29" i="6"/>
  <c r="L29" i="6"/>
  <c r="K29" i="6"/>
  <c r="J29" i="6"/>
  <c r="I29" i="6"/>
  <c r="H29" i="6"/>
  <c r="G29" i="6"/>
  <c r="F29" i="6"/>
  <c r="E29" i="6"/>
  <c r="D29" i="6"/>
  <c r="C29" i="6"/>
  <c r="AL29" i="5"/>
  <c r="AK29" i="5"/>
  <c r="AJ29" i="5"/>
  <c r="AI29" i="5"/>
  <c r="AH29" i="5"/>
  <c r="AG29" i="5"/>
  <c r="AF29" i="5"/>
  <c r="AE29" i="5"/>
  <c r="AD29" i="5"/>
  <c r="AC29" i="5"/>
  <c r="AB29" i="5"/>
  <c r="AA29" i="5"/>
  <c r="Z29" i="5"/>
  <c r="Y29" i="5"/>
  <c r="X29" i="5"/>
  <c r="W29" i="5"/>
  <c r="V29" i="5"/>
  <c r="U29" i="5"/>
  <c r="T29" i="5"/>
  <c r="S29" i="5"/>
  <c r="R29" i="5"/>
  <c r="Q29" i="5"/>
  <c r="P29" i="5"/>
  <c r="O29" i="5"/>
  <c r="N29" i="5"/>
  <c r="M29" i="5"/>
  <c r="L29" i="5"/>
  <c r="K29" i="5"/>
  <c r="J29" i="5"/>
  <c r="I29" i="5"/>
  <c r="H29" i="5"/>
  <c r="G29" i="5"/>
  <c r="F29" i="5"/>
  <c r="E29" i="5"/>
  <c r="D29" i="5"/>
  <c r="C29" i="5"/>
  <c r="AL96" i="6"/>
  <c r="AK96" i="6"/>
  <c r="AI96" i="6"/>
  <c r="AH96" i="6"/>
  <c r="AG96" i="6"/>
  <c r="AF96" i="6"/>
  <c r="AE96" i="6"/>
  <c r="AD96" i="6"/>
  <c r="AC96" i="6"/>
  <c r="AB96" i="6"/>
  <c r="AA96" i="6"/>
  <c r="Z96" i="6"/>
  <c r="Y96" i="6"/>
  <c r="W96" i="6"/>
  <c r="V96" i="6"/>
  <c r="U96" i="6"/>
  <c r="T96" i="6"/>
  <c r="S96" i="6"/>
  <c r="R96" i="6"/>
  <c r="Q96" i="6"/>
  <c r="P96" i="6"/>
  <c r="O96" i="6"/>
  <c r="N96" i="6"/>
  <c r="M96" i="6"/>
  <c r="L96" i="6"/>
  <c r="K96" i="6"/>
  <c r="J96" i="6"/>
  <c r="I96" i="6"/>
  <c r="H96" i="6"/>
  <c r="G96" i="6"/>
  <c r="F96" i="6"/>
  <c r="E96" i="6"/>
  <c r="D96" i="6"/>
  <c r="C96" i="6"/>
  <c r="AL95" i="6"/>
  <c r="AK95" i="6"/>
  <c r="AI95" i="6"/>
  <c r="AH95" i="6"/>
  <c r="AF95" i="6"/>
  <c r="AE95" i="6"/>
  <c r="AC95" i="6"/>
  <c r="AB95" i="6"/>
  <c r="Z95" i="6"/>
  <c r="Y95" i="6"/>
  <c r="W95" i="6"/>
  <c r="V95" i="6"/>
  <c r="T95" i="6"/>
  <c r="S95" i="6"/>
  <c r="Q95" i="6"/>
  <c r="P95" i="6"/>
  <c r="N95" i="6"/>
  <c r="M95" i="6"/>
  <c r="K95" i="6"/>
  <c r="J95" i="6"/>
  <c r="H95" i="6"/>
  <c r="G95" i="6"/>
  <c r="E95" i="6"/>
  <c r="D95" i="6"/>
  <c r="C95" i="6"/>
  <c r="AL82" i="6"/>
  <c r="AK82" i="6"/>
  <c r="AJ82" i="6"/>
  <c r="AI82" i="6"/>
  <c r="AH82" i="6"/>
  <c r="AG82" i="6"/>
  <c r="AF82" i="6"/>
  <c r="AE82" i="6"/>
  <c r="AD82" i="6"/>
  <c r="AC82" i="6"/>
  <c r="AB82" i="6"/>
  <c r="AA82" i="6"/>
  <c r="Z82" i="6"/>
  <c r="Y82" i="6"/>
  <c r="X82" i="6"/>
  <c r="W82" i="6"/>
  <c r="V82" i="6"/>
  <c r="U82" i="6"/>
  <c r="T82" i="6"/>
  <c r="S82" i="6"/>
  <c r="R82" i="6"/>
  <c r="Q82" i="6"/>
  <c r="P82" i="6"/>
  <c r="O82" i="6"/>
  <c r="N82" i="6"/>
  <c r="M82" i="6"/>
  <c r="L82" i="6"/>
  <c r="K82" i="6"/>
  <c r="J82" i="6"/>
  <c r="I82" i="6"/>
  <c r="H82" i="6"/>
  <c r="G82" i="6"/>
  <c r="F82" i="6"/>
  <c r="E82" i="6"/>
  <c r="D82" i="6"/>
  <c r="C82" i="6"/>
  <c r="J81" i="6"/>
  <c r="I81" i="6"/>
  <c r="H81" i="6"/>
  <c r="G81" i="6"/>
  <c r="F81" i="6"/>
  <c r="E81" i="6"/>
  <c r="D81" i="6"/>
  <c r="C81" i="6"/>
  <c r="AL80" i="6"/>
  <c r="AK80" i="6"/>
  <c r="AJ80" i="6"/>
  <c r="AI80" i="6"/>
  <c r="AH80" i="6"/>
  <c r="AG80" i="6"/>
  <c r="AF80" i="6"/>
  <c r="AE80" i="6"/>
  <c r="AD80" i="6"/>
  <c r="AC80" i="6"/>
  <c r="AB80" i="6"/>
  <c r="AA80" i="6"/>
  <c r="Z80" i="6"/>
  <c r="Y80" i="6"/>
  <c r="X80" i="6"/>
  <c r="W80" i="6"/>
  <c r="V80" i="6"/>
  <c r="U80" i="6"/>
  <c r="T80" i="6"/>
  <c r="S80" i="6"/>
  <c r="R80" i="6"/>
  <c r="Q80" i="6"/>
  <c r="P80" i="6"/>
  <c r="O80" i="6"/>
  <c r="N80" i="6"/>
  <c r="M80" i="6"/>
  <c r="L80" i="6"/>
  <c r="K80" i="6"/>
  <c r="J80" i="6"/>
  <c r="I80" i="6"/>
  <c r="H80" i="6"/>
  <c r="G80" i="6"/>
  <c r="F80" i="6"/>
  <c r="E80" i="6"/>
  <c r="D80" i="6"/>
  <c r="C80" i="6"/>
  <c r="AL74" i="6"/>
  <c r="AK74" i="6"/>
  <c r="AJ74" i="6"/>
  <c r="AI74" i="6"/>
  <c r="AH74" i="6"/>
  <c r="AG74" i="6"/>
  <c r="AF74" i="6"/>
  <c r="AE74" i="6"/>
  <c r="AD74" i="6"/>
  <c r="AC74" i="6"/>
  <c r="AB74" i="6"/>
  <c r="AA74" i="6"/>
  <c r="Z74" i="6"/>
  <c r="Y74" i="6"/>
  <c r="X74" i="6"/>
  <c r="W74" i="6"/>
  <c r="V74" i="6"/>
  <c r="U74" i="6"/>
  <c r="T74" i="6"/>
  <c r="S74" i="6"/>
  <c r="R74" i="6"/>
  <c r="Q74" i="6"/>
  <c r="P74" i="6"/>
  <c r="O74" i="6"/>
  <c r="N74" i="6"/>
  <c r="M74" i="6"/>
  <c r="L74" i="6"/>
  <c r="K74" i="6"/>
  <c r="J74" i="6"/>
  <c r="I74" i="6"/>
  <c r="H74" i="6"/>
  <c r="G74" i="6"/>
  <c r="F74" i="6"/>
  <c r="E74" i="6"/>
  <c r="D74" i="6"/>
  <c r="C74" i="6"/>
  <c r="J62" i="6"/>
  <c r="I62" i="6"/>
  <c r="H62" i="6"/>
  <c r="G62" i="6"/>
  <c r="F62" i="6"/>
  <c r="E62" i="6"/>
  <c r="D62" i="6"/>
  <c r="C62" i="6"/>
  <c r="AL61" i="6"/>
  <c r="AK61" i="6"/>
  <c r="AJ61" i="6"/>
  <c r="AI61" i="6"/>
  <c r="AH61" i="6"/>
  <c r="AG61" i="6"/>
  <c r="AF61" i="6"/>
  <c r="AE61" i="6"/>
  <c r="AD61" i="6"/>
  <c r="AC61" i="6"/>
  <c r="AB61" i="6"/>
  <c r="AA61" i="6"/>
  <c r="Z61" i="6"/>
  <c r="Y61" i="6"/>
  <c r="X61" i="6"/>
  <c r="W61" i="6"/>
  <c r="V61" i="6"/>
  <c r="U61" i="6"/>
  <c r="T61" i="6"/>
  <c r="S61" i="6"/>
  <c r="R61" i="6"/>
  <c r="Q61" i="6"/>
  <c r="P61" i="6"/>
  <c r="O61" i="6"/>
  <c r="N61" i="6"/>
  <c r="M61" i="6"/>
  <c r="L61" i="6"/>
  <c r="K61" i="6"/>
  <c r="J61" i="6"/>
  <c r="I61" i="6"/>
  <c r="H61" i="6"/>
  <c r="G61" i="6"/>
  <c r="F61" i="6"/>
  <c r="E61" i="6"/>
  <c r="D61" i="6"/>
  <c r="C61" i="6"/>
  <c r="AL60" i="6"/>
  <c r="AK60" i="6"/>
  <c r="AJ60" i="6"/>
  <c r="AI60" i="6"/>
  <c r="AH60" i="6"/>
  <c r="AG60" i="6"/>
  <c r="AF60" i="6"/>
  <c r="AE60" i="6"/>
  <c r="AD60" i="6"/>
  <c r="AC60" i="6"/>
  <c r="AB60" i="6"/>
  <c r="AA60" i="6"/>
  <c r="Z60" i="6"/>
  <c r="Y60" i="6"/>
  <c r="X60" i="6"/>
  <c r="W60" i="6"/>
  <c r="V60" i="6"/>
  <c r="U60" i="6"/>
  <c r="T60" i="6"/>
  <c r="S60" i="6"/>
  <c r="R60" i="6"/>
  <c r="Q60" i="6"/>
  <c r="P60" i="6"/>
  <c r="O60" i="6"/>
  <c r="N60" i="6"/>
  <c r="M60" i="6"/>
  <c r="L60" i="6"/>
  <c r="K60" i="6"/>
  <c r="J60" i="6"/>
  <c r="I60" i="6"/>
  <c r="H60" i="6"/>
  <c r="G60" i="6"/>
  <c r="F60" i="6"/>
  <c r="E60" i="6"/>
  <c r="D60" i="6"/>
  <c r="C60" i="6"/>
  <c r="N54" i="6"/>
  <c r="AL44" i="6"/>
  <c r="AL54" i="6" s="1"/>
  <c r="AK44" i="6"/>
  <c r="AK54" i="6" s="1"/>
  <c r="AJ44" i="6"/>
  <c r="AJ54" i="6" s="1"/>
  <c r="AI44" i="6"/>
  <c r="AI54" i="6" s="1"/>
  <c r="AH44" i="6"/>
  <c r="AH54" i="6" s="1"/>
  <c r="AG44" i="6"/>
  <c r="AG54" i="6" s="1"/>
  <c r="AF44" i="6"/>
  <c r="AF54" i="6" s="1"/>
  <c r="AE44" i="6"/>
  <c r="AE54" i="6" s="1"/>
  <c r="AD44" i="6"/>
  <c r="AD54" i="6" s="1"/>
  <c r="AC44" i="6"/>
  <c r="AC54" i="6" s="1"/>
  <c r="AB44" i="6"/>
  <c r="AB54" i="6" s="1"/>
  <c r="AA44" i="6"/>
  <c r="AA54" i="6" s="1"/>
  <c r="Z44" i="6"/>
  <c r="Z54" i="6" s="1"/>
  <c r="Y44" i="6"/>
  <c r="Y54" i="6" s="1"/>
  <c r="X44" i="6"/>
  <c r="X54" i="6" s="1"/>
  <c r="W44" i="6"/>
  <c r="W54" i="6" s="1"/>
  <c r="V44" i="6"/>
  <c r="V54" i="6" s="1"/>
  <c r="U44" i="6"/>
  <c r="U54" i="6" s="1"/>
  <c r="T44" i="6"/>
  <c r="T54" i="6" s="1"/>
  <c r="S44" i="6"/>
  <c r="S54" i="6" s="1"/>
  <c r="R44" i="6"/>
  <c r="R54" i="6" s="1"/>
  <c r="Q44" i="6"/>
  <c r="Q54" i="6" s="1"/>
  <c r="P44" i="6"/>
  <c r="P54" i="6" s="1"/>
  <c r="O44" i="6"/>
  <c r="O54" i="6" s="1"/>
  <c r="N44" i="6"/>
  <c r="M44" i="6"/>
  <c r="L44" i="6"/>
  <c r="K44" i="6"/>
  <c r="J44" i="6"/>
  <c r="I44" i="6"/>
  <c r="H44" i="6"/>
  <c r="G44" i="6"/>
  <c r="F44" i="6"/>
  <c r="E44" i="6"/>
  <c r="D44" i="6"/>
  <c r="C44" i="6"/>
  <c r="C46" i="6" s="1"/>
  <c r="AL43" i="6"/>
  <c r="AK43" i="6"/>
  <c r="AJ43" i="6"/>
  <c r="AI43" i="6"/>
  <c r="AH43" i="6"/>
  <c r="AG43" i="6"/>
  <c r="AF43" i="6"/>
  <c r="AE43" i="6"/>
  <c r="AD43" i="6"/>
  <c r="AC43" i="6"/>
  <c r="AB43" i="6"/>
  <c r="AA43" i="6"/>
  <c r="Z43" i="6"/>
  <c r="Y43" i="6"/>
  <c r="X43" i="6"/>
  <c r="W43" i="6"/>
  <c r="V43" i="6"/>
  <c r="U43" i="6"/>
  <c r="T43" i="6"/>
  <c r="S43" i="6"/>
  <c r="R43" i="6"/>
  <c r="Q43" i="6"/>
  <c r="P43" i="6"/>
  <c r="O43" i="6"/>
  <c r="N43" i="6"/>
  <c r="M43" i="6"/>
  <c r="M54" i="6" s="1"/>
  <c r="L43" i="6"/>
  <c r="L54" i="6" s="1"/>
  <c r="K43" i="6"/>
  <c r="K54" i="6" s="1"/>
  <c r="J43" i="6"/>
  <c r="J54" i="6" s="1"/>
  <c r="I43" i="6"/>
  <c r="I54" i="6" s="1"/>
  <c r="H43" i="6"/>
  <c r="G43" i="6"/>
  <c r="G54" i="6" s="1"/>
  <c r="F43" i="6"/>
  <c r="F54" i="6" s="1"/>
  <c r="E43" i="6"/>
  <c r="E54" i="6" s="1"/>
  <c r="D43" i="6"/>
  <c r="D54" i="6" s="1"/>
  <c r="C43" i="6"/>
  <c r="H32" i="6"/>
  <c r="G32" i="6"/>
  <c r="F32" i="6"/>
  <c r="E32" i="6"/>
  <c r="D32" i="6"/>
  <c r="C32" i="6"/>
  <c r="E16" i="6"/>
  <c r="E17" i="6" s="1"/>
  <c r="D16" i="6"/>
  <c r="D17" i="6" s="1"/>
  <c r="C16" i="6"/>
  <c r="C17" i="6" s="1"/>
  <c r="C18" i="6" s="1"/>
  <c r="AL7" i="6"/>
  <c r="AK7" i="6"/>
  <c r="AJ7" i="6"/>
  <c r="AI7" i="6"/>
  <c r="AH7" i="6"/>
  <c r="AG7" i="6"/>
  <c r="AF7" i="6"/>
  <c r="AE7" i="6"/>
  <c r="AD7" i="6"/>
  <c r="AC7" i="6"/>
  <c r="AB7" i="6"/>
  <c r="AA7" i="6"/>
  <c r="Z7" i="6"/>
  <c r="Y7" i="6"/>
  <c r="X7" i="6"/>
  <c r="W7" i="6"/>
  <c r="V7" i="6"/>
  <c r="U7" i="6"/>
  <c r="T7" i="6"/>
  <c r="S7" i="6"/>
  <c r="R7" i="6"/>
  <c r="Q7" i="6"/>
  <c r="P7" i="6"/>
  <c r="O7" i="6"/>
  <c r="N7" i="6"/>
  <c r="M7" i="6"/>
  <c r="L7" i="6"/>
  <c r="K7" i="6"/>
  <c r="J7" i="6"/>
  <c r="I7" i="6"/>
  <c r="H7" i="6"/>
  <c r="G7" i="6"/>
  <c r="F7" i="6"/>
  <c r="E7" i="6"/>
  <c r="D7" i="6"/>
  <c r="C7" i="6"/>
  <c r="A2" i="6"/>
  <c r="AL96" i="5"/>
  <c r="AK96" i="5"/>
  <c r="AI96" i="5"/>
  <c r="AH96" i="5"/>
  <c r="AG96" i="5"/>
  <c r="AF96" i="5"/>
  <c r="AE96" i="5"/>
  <c r="AD96" i="5"/>
  <c r="AC96" i="5"/>
  <c r="AB96" i="5"/>
  <c r="AA96" i="5"/>
  <c r="Z96" i="5"/>
  <c r="Y96" i="5"/>
  <c r="W96" i="5"/>
  <c r="V96" i="5"/>
  <c r="U96" i="5"/>
  <c r="T96" i="5"/>
  <c r="S96" i="5"/>
  <c r="R96" i="5"/>
  <c r="Q96" i="5"/>
  <c r="P96" i="5"/>
  <c r="O96" i="5"/>
  <c r="N96" i="5"/>
  <c r="M96" i="5"/>
  <c r="L96" i="5"/>
  <c r="K96" i="5"/>
  <c r="J96" i="5"/>
  <c r="I96" i="5"/>
  <c r="H96" i="5"/>
  <c r="G96" i="5"/>
  <c r="F96" i="5"/>
  <c r="E96" i="5"/>
  <c r="D96" i="5"/>
  <c r="C96" i="5"/>
  <c r="AL95" i="5"/>
  <c r="AK95" i="5"/>
  <c r="AI95" i="5"/>
  <c r="AH95" i="5"/>
  <c r="AF95" i="5"/>
  <c r="AE95" i="5"/>
  <c r="AC95" i="5"/>
  <c r="AB95" i="5"/>
  <c r="Z95" i="5"/>
  <c r="Y95" i="5"/>
  <c r="W95" i="5"/>
  <c r="V95" i="5"/>
  <c r="T95" i="5"/>
  <c r="S95" i="5"/>
  <c r="Q95" i="5"/>
  <c r="P95" i="5"/>
  <c r="N95" i="5"/>
  <c r="M95" i="5"/>
  <c r="K95" i="5"/>
  <c r="J95" i="5"/>
  <c r="H95" i="5"/>
  <c r="G95" i="5"/>
  <c r="E95" i="5"/>
  <c r="D95" i="5"/>
  <c r="C95" i="5"/>
  <c r="AL82" i="5"/>
  <c r="AK82" i="5"/>
  <c r="AJ82" i="5"/>
  <c r="AI82" i="5"/>
  <c r="AH82" i="5"/>
  <c r="AG82" i="5"/>
  <c r="AF82" i="5"/>
  <c r="AE82" i="5"/>
  <c r="AD82" i="5"/>
  <c r="AC82" i="5"/>
  <c r="AB82" i="5"/>
  <c r="AA82" i="5"/>
  <c r="Z82" i="5"/>
  <c r="Y82" i="5"/>
  <c r="X82" i="5"/>
  <c r="W82" i="5"/>
  <c r="V82" i="5"/>
  <c r="U82" i="5"/>
  <c r="T82" i="5"/>
  <c r="S82" i="5"/>
  <c r="R82" i="5"/>
  <c r="Q82" i="5"/>
  <c r="P82" i="5"/>
  <c r="O82" i="5"/>
  <c r="N82" i="5"/>
  <c r="M82" i="5"/>
  <c r="L82" i="5"/>
  <c r="K82" i="5"/>
  <c r="J82" i="5"/>
  <c r="I82" i="5"/>
  <c r="H82" i="5"/>
  <c r="G82" i="5"/>
  <c r="F82" i="5"/>
  <c r="E82" i="5"/>
  <c r="D82" i="5"/>
  <c r="C82" i="5"/>
  <c r="AL80" i="5"/>
  <c r="AK80" i="5"/>
  <c r="AJ80" i="5"/>
  <c r="AI80" i="5"/>
  <c r="AH80" i="5"/>
  <c r="AG80" i="5"/>
  <c r="AF80" i="5"/>
  <c r="AE80" i="5"/>
  <c r="AD80" i="5"/>
  <c r="AC80" i="5"/>
  <c r="AB80" i="5"/>
  <c r="AA80" i="5"/>
  <c r="Z80" i="5"/>
  <c r="Y80" i="5"/>
  <c r="X80" i="5"/>
  <c r="W80" i="5"/>
  <c r="V80" i="5"/>
  <c r="U80" i="5"/>
  <c r="T80" i="5"/>
  <c r="S80" i="5"/>
  <c r="R80" i="5"/>
  <c r="Q80" i="5"/>
  <c r="P80" i="5"/>
  <c r="O80" i="5"/>
  <c r="N80" i="5"/>
  <c r="M80" i="5"/>
  <c r="L80" i="5"/>
  <c r="K80" i="5"/>
  <c r="J80" i="5"/>
  <c r="I80" i="5"/>
  <c r="H80" i="5"/>
  <c r="G80" i="5"/>
  <c r="F80" i="5"/>
  <c r="E80" i="5"/>
  <c r="D80" i="5"/>
  <c r="C80" i="5"/>
  <c r="AL74" i="5"/>
  <c r="AK74" i="5"/>
  <c r="AJ74" i="5"/>
  <c r="AI74" i="5"/>
  <c r="AH74" i="5"/>
  <c r="AG74" i="5"/>
  <c r="AF74" i="5"/>
  <c r="AE74" i="5"/>
  <c r="AD74" i="5"/>
  <c r="AC74" i="5"/>
  <c r="AB74" i="5"/>
  <c r="AA74" i="5"/>
  <c r="Z74" i="5"/>
  <c r="Y74" i="5"/>
  <c r="X74" i="5"/>
  <c r="W74" i="5"/>
  <c r="V74" i="5"/>
  <c r="U74" i="5"/>
  <c r="T74" i="5"/>
  <c r="S74" i="5"/>
  <c r="R74" i="5"/>
  <c r="Q74" i="5"/>
  <c r="P74" i="5"/>
  <c r="O74" i="5"/>
  <c r="N74" i="5"/>
  <c r="M74" i="5"/>
  <c r="L74" i="5"/>
  <c r="K74" i="5"/>
  <c r="J74" i="5"/>
  <c r="I74" i="5"/>
  <c r="H74" i="5"/>
  <c r="G74" i="5"/>
  <c r="F74" i="5"/>
  <c r="E74" i="5"/>
  <c r="D74" i="5"/>
  <c r="C74" i="5"/>
  <c r="J62" i="5"/>
  <c r="I62" i="5"/>
  <c r="H62" i="5"/>
  <c r="G62" i="5"/>
  <c r="F62" i="5"/>
  <c r="E62" i="5"/>
  <c r="D62" i="5"/>
  <c r="C62" i="5"/>
  <c r="AL61" i="5"/>
  <c r="AK61" i="5"/>
  <c r="AJ61" i="5"/>
  <c r="AI61" i="5"/>
  <c r="AH61" i="5"/>
  <c r="AG61" i="5"/>
  <c r="AF61" i="5"/>
  <c r="AE61" i="5"/>
  <c r="AD61" i="5"/>
  <c r="AC61" i="5"/>
  <c r="AB61" i="5"/>
  <c r="AA61" i="5"/>
  <c r="Z61" i="5"/>
  <c r="Y61" i="5"/>
  <c r="X61" i="5"/>
  <c r="W61" i="5"/>
  <c r="V61" i="5"/>
  <c r="U61" i="5"/>
  <c r="T61" i="5"/>
  <c r="S61" i="5"/>
  <c r="R61" i="5"/>
  <c r="Q61" i="5"/>
  <c r="P61" i="5"/>
  <c r="O61" i="5"/>
  <c r="N61" i="5"/>
  <c r="M61" i="5"/>
  <c r="L61" i="5"/>
  <c r="K61" i="5"/>
  <c r="J61" i="5"/>
  <c r="I61" i="5"/>
  <c r="H61" i="5"/>
  <c r="G61" i="5"/>
  <c r="F61" i="5"/>
  <c r="E61" i="5"/>
  <c r="D61" i="5"/>
  <c r="C61" i="5"/>
  <c r="AL60" i="5"/>
  <c r="AK60" i="5"/>
  <c r="AJ60" i="5"/>
  <c r="AI60" i="5"/>
  <c r="AH60" i="5"/>
  <c r="AG60" i="5"/>
  <c r="AF60" i="5"/>
  <c r="AE60" i="5"/>
  <c r="AD60" i="5"/>
  <c r="AC60" i="5"/>
  <c r="AB60" i="5"/>
  <c r="AA60" i="5"/>
  <c r="Z60" i="5"/>
  <c r="Y60" i="5"/>
  <c r="X60" i="5"/>
  <c r="W60" i="5"/>
  <c r="V60" i="5"/>
  <c r="U60" i="5"/>
  <c r="T60" i="5"/>
  <c r="S60" i="5"/>
  <c r="R60" i="5"/>
  <c r="Q60" i="5"/>
  <c r="P60" i="5"/>
  <c r="O60" i="5"/>
  <c r="N60" i="5"/>
  <c r="M60" i="5"/>
  <c r="L60" i="5"/>
  <c r="K60" i="5"/>
  <c r="J60" i="5"/>
  <c r="I60" i="5"/>
  <c r="H60" i="5"/>
  <c r="G60" i="5"/>
  <c r="F60" i="5"/>
  <c r="E60" i="5"/>
  <c r="D60" i="5"/>
  <c r="C60" i="5"/>
  <c r="AL44" i="5"/>
  <c r="AK44" i="5"/>
  <c r="AJ44" i="5"/>
  <c r="AI44" i="5"/>
  <c r="AH44" i="5"/>
  <c r="AG44" i="5"/>
  <c r="AF44" i="5"/>
  <c r="AE44" i="5"/>
  <c r="AD44" i="5"/>
  <c r="AC44" i="5"/>
  <c r="AB44" i="5"/>
  <c r="AA44" i="5"/>
  <c r="Z44" i="5"/>
  <c r="Y44" i="5"/>
  <c r="X44" i="5"/>
  <c r="W44" i="5"/>
  <c r="V44" i="5"/>
  <c r="U44" i="5"/>
  <c r="T44" i="5"/>
  <c r="S44" i="5"/>
  <c r="R44" i="5"/>
  <c r="Q44" i="5"/>
  <c r="P44" i="5"/>
  <c r="O44" i="5"/>
  <c r="N44" i="5"/>
  <c r="M44" i="5"/>
  <c r="L44" i="5"/>
  <c r="K44" i="5"/>
  <c r="J44" i="5"/>
  <c r="I44" i="5"/>
  <c r="H44" i="5"/>
  <c r="G44" i="5"/>
  <c r="F44" i="5"/>
  <c r="E44" i="5"/>
  <c r="D44" i="5"/>
  <c r="C44" i="5"/>
  <c r="C46" i="5" s="1"/>
  <c r="AL43" i="5"/>
  <c r="AL54" i="5" s="1"/>
  <c r="AK43" i="5"/>
  <c r="AK54" i="5" s="1"/>
  <c r="AJ43" i="5"/>
  <c r="AJ54" i="5" s="1"/>
  <c r="AI43" i="5"/>
  <c r="AI54" i="5" s="1"/>
  <c r="AH43" i="5"/>
  <c r="AH54" i="5" s="1"/>
  <c r="AG43" i="5"/>
  <c r="AG54" i="5" s="1"/>
  <c r="AF43" i="5"/>
  <c r="AF54" i="5" s="1"/>
  <c r="AE43" i="5"/>
  <c r="AE54" i="5" s="1"/>
  <c r="AD43" i="5"/>
  <c r="AD54" i="5" s="1"/>
  <c r="AC43" i="5"/>
  <c r="AC54" i="5" s="1"/>
  <c r="AB43" i="5"/>
  <c r="AB54" i="5" s="1"/>
  <c r="AA43" i="5"/>
  <c r="AA54" i="5" s="1"/>
  <c r="Z43" i="5"/>
  <c r="Z54" i="5" s="1"/>
  <c r="Y43" i="5"/>
  <c r="Y54" i="5" s="1"/>
  <c r="X43" i="5"/>
  <c r="X54" i="5" s="1"/>
  <c r="W43" i="5"/>
  <c r="W54" i="5" s="1"/>
  <c r="V43" i="5"/>
  <c r="V54" i="5" s="1"/>
  <c r="U43" i="5"/>
  <c r="U54" i="5" s="1"/>
  <c r="T43" i="5"/>
  <c r="T54" i="5" s="1"/>
  <c r="S43" i="5"/>
  <c r="S54" i="5" s="1"/>
  <c r="R43" i="5"/>
  <c r="R54" i="5" s="1"/>
  <c r="Q43" i="5"/>
  <c r="Q54" i="5" s="1"/>
  <c r="P43" i="5"/>
  <c r="P54" i="5" s="1"/>
  <c r="O43" i="5"/>
  <c r="O54" i="5" s="1"/>
  <c r="N43" i="5"/>
  <c r="N54" i="5" s="1"/>
  <c r="M43" i="5"/>
  <c r="M54" i="5" s="1"/>
  <c r="L43" i="5"/>
  <c r="L54" i="5" s="1"/>
  <c r="K43" i="5"/>
  <c r="K54" i="5" s="1"/>
  <c r="J43" i="5"/>
  <c r="J54" i="5" s="1"/>
  <c r="I43" i="5"/>
  <c r="I54" i="5" s="1"/>
  <c r="H43" i="5"/>
  <c r="H54" i="5" s="1"/>
  <c r="G43" i="5"/>
  <c r="G54" i="5" s="1"/>
  <c r="F43" i="5"/>
  <c r="F54" i="5" s="1"/>
  <c r="E43" i="5"/>
  <c r="E54" i="5" s="1"/>
  <c r="D43" i="5"/>
  <c r="C43" i="5"/>
  <c r="E16" i="5"/>
  <c r="E17" i="5" s="1"/>
  <c r="D16" i="5"/>
  <c r="D17" i="5" s="1"/>
  <c r="C16" i="5"/>
  <c r="C17" i="5" s="1"/>
  <c r="C18" i="5" s="1"/>
  <c r="AL7" i="5"/>
  <c r="AK7" i="5"/>
  <c r="AJ7" i="5"/>
  <c r="AI7" i="5"/>
  <c r="AH7" i="5"/>
  <c r="AG7" i="5"/>
  <c r="AF7" i="5"/>
  <c r="AE7" i="5"/>
  <c r="AD7" i="5"/>
  <c r="AC7" i="5"/>
  <c r="AB7" i="5"/>
  <c r="AA7" i="5"/>
  <c r="Z7" i="5"/>
  <c r="Y7" i="5"/>
  <c r="X7" i="5"/>
  <c r="W7" i="5"/>
  <c r="V7" i="5"/>
  <c r="U7" i="5"/>
  <c r="T7" i="5"/>
  <c r="S7" i="5"/>
  <c r="R7" i="5"/>
  <c r="Q7" i="5"/>
  <c r="P7" i="5"/>
  <c r="O7" i="5"/>
  <c r="N7" i="5"/>
  <c r="M7" i="5"/>
  <c r="L7" i="5"/>
  <c r="K7" i="5"/>
  <c r="J7" i="5"/>
  <c r="I7" i="5"/>
  <c r="H7" i="5"/>
  <c r="G7" i="5"/>
  <c r="F7" i="5"/>
  <c r="E7" i="5"/>
  <c r="D7" i="5"/>
  <c r="C7" i="5"/>
  <c r="A2" i="5"/>
  <c r="B119" i="4"/>
  <c r="C38" i="3" s="1"/>
  <c r="C39" i="3" s="1"/>
  <c r="B41" i="4"/>
  <c r="B40" i="4"/>
  <c r="G18" i="3"/>
  <c r="F18" i="3"/>
  <c r="E18" i="3"/>
  <c r="B5" i="3"/>
  <c r="D34" i="3" s="1"/>
  <c r="C56" i="2"/>
  <c r="C52" i="2"/>
  <c r="C50" i="2"/>
  <c r="C48" i="2"/>
  <c r="E14" i="2"/>
  <c r="D14" i="2"/>
  <c r="C14" i="2"/>
  <c r="AG45" i="6" l="1"/>
  <c r="Y45" i="6"/>
  <c r="V45" i="6"/>
  <c r="Q45" i="6"/>
  <c r="R46" i="5"/>
  <c r="E21" i="2"/>
  <c r="D21" i="2"/>
  <c r="C40" i="3"/>
  <c r="AL46" i="6"/>
  <c r="AK46" i="6"/>
  <c r="AJ46" i="6"/>
  <c r="AI46" i="6"/>
  <c r="AH46" i="6"/>
  <c r="AG46" i="6"/>
  <c r="AF46" i="6"/>
  <c r="AE46" i="6"/>
  <c r="AD46" i="6"/>
  <c r="AC46" i="6"/>
  <c r="AB46" i="6"/>
  <c r="AA46" i="6"/>
  <c r="Z46" i="6"/>
  <c r="Y46" i="6"/>
  <c r="X46" i="6"/>
  <c r="W46" i="6"/>
  <c r="V46" i="6"/>
  <c r="U46" i="6"/>
  <c r="T46" i="6"/>
  <c r="S46" i="6"/>
  <c r="R46" i="6"/>
  <c r="Q46" i="6"/>
  <c r="P46" i="6"/>
  <c r="O46" i="6"/>
  <c r="N46" i="6"/>
  <c r="M46" i="6"/>
  <c r="L46" i="6"/>
  <c r="K46" i="6"/>
  <c r="J46" i="6"/>
  <c r="I46" i="6"/>
  <c r="H46" i="6"/>
  <c r="G46" i="6"/>
  <c r="F46" i="6"/>
  <c r="E46" i="6"/>
  <c r="D46" i="6"/>
  <c r="AL45" i="6"/>
  <c r="AK45" i="6"/>
  <c r="AJ45" i="6"/>
  <c r="AI45" i="6"/>
  <c r="AH45" i="6"/>
  <c r="AF45" i="6"/>
  <c r="AE45" i="6"/>
  <c r="AD45" i="6"/>
  <c r="AC45" i="6"/>
  <c r="AB45" i="6"/>
  <c r="AA45" i="6"/>
  <c r="Z45" i="6"/>
  <c r="X45" i="6"/>
  <c r="W45" i="6"/>
  <c r="U45" i="6"/>
  <c r="T45" i="6"/>
  <c r="R45" i="6"/>
  <c r="P45" i="6"/>
  <c r="O45" i="6"/>
  <c r="M45" i="6"/>
  <c r="K45" i="6"/>
  <c r="I45" i="6"/>
  <c r="G45" i="6"/>
  <c r="F45" i="6"/>
  <c r="D45" i="6"/>
  <c r="S45" i="6"/>
  <c r="N45" i="6"/>
  <c r="L45" i="6"/>
  <c r="J45" i="6"/>
  <c r="E45" i="6"/>
  <c r="AL46" i="5"/>
  <c r="AK46" i="5"/>
  <c r="AJ46" i="5"/>
  <c r="AI46" i="5"/>
  <c r="AH46" i="5"/>
  <c r="AG46" i="5"/>
  <c r="AF46" i="5"/>
  <c r="AE46" i="5"/>
  <c r="AD46" i="5"/>
  <c r="AC46" i="5"/>
  <c r="AB46" i="5"/>
  <c r="AA46" i="5"/>
  <c r="Z46" i="5"/>
  <c r="Y46" i="5"/>
  <c r="X46" i="5"/>
  <c r="W46" i="5"/>
  <c r="V46" i="5"/>
  <c r="U46" i="5"/>
  <c r="T46" i="5"/>
  <c r="S46" i="5"/>
  <c r="L45" i="5"/>
  <c r="J45" i="5"/>
  <c r="H45" i="5"/>
  <c r="F45" i="5"/>
  <c r="Q46" i="5"/>
  <c r="P46" i="5"/>
  <c r="O46" i="5"/>
  <c r="N46" i="5"/>
  <c r="M46" i="5"/>
  <c r="L46" i="5"/>
  <c r="K46" i="5"/>
  <c r="J46" i="5"/>
  <c r="I46" i="5"/>
  <c r="H46" i="5"/>
  <c r="G46" i="5"/>
  <c r="F46" i="5"/>
  <c r="E46" i="5"/>
  <c r="D46" i="5"/>
  <c r="AL45" i="5"/>
  <c r="AK45" i="5"/>
  <c r="AJ45" i="5"/>
  <c r="AI45" i="5"/>
  <c r="AH45" i="5"/>
  <c r="AG45" i="5"/>
  <c r="AF45" i="5"/>
  <c r="AE45" i="5"/>
  <c r="AD45" i="5"/>
  <c r="AC45" i="5"/>
  <c r="AB45" i="5"/>
  <c r="AA45" i="5"/>
  <c r="Z45" i="5"/>
  <c r="Y45" i="5"/>
  <c r="X45" i="5"/>
  <c r="W45" i="5"/>
  <c r="V45" i="5"/>
  <c r="U45" i="5"/>
  <c r="T45" i="5"/>
  <c r="S45" i="5"/>
  <c r="R45" i="5"/>
  <c r="Q45" i="5"/>
  <c r="P45" i="5"/>
  <c r="O45" i="5"/>
  <c r="N45" i="5"/>
  <c r="M45" i="5"/>
  <c r="K45" i="5"/>
  <c r="I45" i="5"/>
  <c r="G45" i="5"/>
  <c r="E45" i="5"/>
  <c r="F19" i="3"/>
  <c r="H45" i="6"/>
  <c r="H54" i="6"/>
  <c r="C45" i="6"/>
  <c r="C54" i="6"/>
  <c r="D45" i="5"/>
  <c r="D54" i="5"/>
  <c r="C45" i="5"/>
  <c r="C54" i="5"/>
  <c r="C21" i="2" s="1"/>
  <c r="C39" i="6"/>
  <c r="C40" i="6" s="1"/>
  <c r="C39" i="5"/>
  <c r="C40" i="5" s="1"/>
  <c r="C41" i="5" s="1"/>
  <c r="C35" i="6"/>
  <c r="C36" i="6" s="1"/>
  <c r="C35" i="5"/>
  <c r="C36" i="5" s="1"/>
  <c r="C37" i="5" s="1"/>
  <c r="J64" i="6"/>
  <c r="I64" i="6"/>
  <c r="H64" i="6"/>
  <c r="G64" i="6"/>
  <c r="F64" i="6"/>
  <c r="E64" i="6"/>
  <c r="D64" i="6"/>
  <c r="C64" i="6"/>
  <c r="D18" i="6"/>
  <c r="C19" i="6"/>
  <c r="AL10" i="6"/>
  <c r="AL27" i="6"/>
  <c r="AK10" i="6"/>
  <c r="AK27" i="6"/>
  <c r="AJ10" i="6"/>
  <c r="AJ27" i="6"/>
  <c r="AI27" i="6"/>
  <c r="AI10" i="6"/>
  <c r="AH10" i="6"/>
  <c r="AH27" i="6"/>
  <c r="AG10" i="6"/>
  <c r="AG27" i="6"/>
  <c r="AF10" i="6"/>
  <c r="AF27" i="6"/>
  <c r="AE10" i="6"/>
  <c r="AE27" i="6"/>
  <c r="AD27" i="6"/>
  <c r="AD10" i="6"/>
  <c r="AC27" i="6"/>
  <c r="AC10" i="6"/>
  <c r="AB27" i="6"/>
  <c r="AB10" i="6"/>
  <c r="AA27" i="6"/>
  <c r="AA10" i="6"/>
  <c r="Z27" i="6"/>
  <c r="Z10" i="6"/>
  <c r="Y27" i="6"/>
  <c r="Y10" i="6"/>
  <c r="X27" i="6"/>
  <c r="X10" i="6"/>
  <c r="W27" i="6"/>
  <c r="W10" i="6"/>
  <c r="V10" i="6"/>
  <c r="V27" i="6"/>
  <c r="U27" i="6"/>
  <c r="U10" i="6"/>
  <c r="T10" i="6"/>
  <c r="T27" i="6"/>
  <c r="S27" i="6"/>
  <c r="S10" i="6"/>
  <c r="R10" i="6"/>
  <c r="R27" i="6"/>
  <c r="Q10" i="6"/>
  <c r="Q27" i="6"/>
  <c r="P27" i="6"/>
  <c r="P10" i="6"/>
  <c r="O10" i="6"/>
  <c r="O27" i="6"/>
  <c r="N10" i="6"/>
  <c r="N27" i="6"/>
  <c r="M10" i="6"/>
  <c r="M27" i="6"/>
  <c r="L10" i="6"/>
  <c r="L27" i="6"/>
  <c r="K10" i="6"/>
  <c r="K27" i="6"/>
  <c r="J27" i="6"/>
  <c r="J10" i="6"/>
  <c r="I10" i="6"/>
  <c r="I27" i="6"/>
  <c r="H27" i="6"/>
  <c r="H10" i="6"/>
  <c r="G10" i="6"/>
  <c r="G27" i="6"/>
  <c r="F27" i="6"/>
  <c r="F10" i="6"/>
  <c r="E27" i="6"/>
  <c r="E10" i="6"/>
  <c r="D27" i="6"/>
  <c r="D10" i="6"/>
  <c r="C27" i="6"/>
  <c r="C28" i="6" s="1"/>
  <c r="C10" i="6"/>
  <c r="C11" i="6" s="1"/>
  <c r="J81" i="5"/>
  <c r="J64" i="5"/>
  <c r="I81" i="5"/>
  <c r="I64" i="5"/>
  <c r="H81" i="5"/>
  <c r="H64" i="5"/>
  <c r="G81" i="5"/>
  <c r="G64" i="5"/>
  <c r="F81" i="5"/>
  <c r="F64" i="5"/>
  <c r="E81" i="5"/>
  <c r="E64" i="5"/>
  <c r="D81" i="5"/>
  <c r="D64" i="5"/>
  <c r="C64" i="5"/>
  <c r="C81" i="5"/>
  <c r="D18" i="5"/>
  <c r="C19" i="5"/>
  <c r="AL27" i="5"/>
  <c r="AL10" i="5"/>
  <c r="AK27" i="5"/>
  <c r="AK10" i="5"/>
  <c r="AJ27" i="5"/>
  <c r="AJ10" i="5"/>
  <c r="AI27" i="5"/>
  <c r="AI10" i="5"/>
  <c r="AH27" i="5"/>
  <c r="AH10" i="5"/>
  <c r="AG27" i="5"/>
  <c r="AG10" i="5"/>
  <c r="AF27" i="5"/>
  <c r="AF10" i="5"/>
  <c r="AE27" i="5"/>
  <c r="AE10" i="5"/>
  <c r="AD27" i="5"/>
  <c r="AD10" i="5"/>
  <c r="AC27" i="5"/>
  <c r="AC10" i="5"/>
  <c r="AB10" i="5"/>
  <c r="AB27" i="5"/>
  <c r="AA10" i="5"/>
  <c r="AA27" i="5"/>
  <c r="Z10" i="5"/>
  <c r="Z27" i="5"/>
  <c r="Y10" i="5"/>
  <c r="Y27" i="5"/>
  <c r="X27" i="5"/>
  <c r="X10" i="5"/>
  <c r="W27" i="5"/>
  <c r="W10" i="5"/>
  <c r="V27" i="5"/>
  <c r="V10" i="5"/>
  <c r="U10" i="5"/>
  <c r="U27" i="5"/>
  <c r="T27" i="5"/>
  <c r="T10" i="5"/>
  <c r="S10" i="5"/>
  <c r="S27" i="5"/>
  <c r="R10" i="5"/>
  <c r="R27" i="5"/>
  <c r="Q27" i="5"/>
  <c r="Q10" i="5"/>
  <c r="P27" i="5"/>
  <c r="P10" i="5"/>
  <c r="O27" i="5"/>
  <c r="O10" i="5"/>
  <c r="N27" i="5"/>
  <c r="N10" i="5"/>
  <c r="M27" i="5"/>
  <c r="M10" i="5"/>
  <c r="L10" i="5"/>
  <c r="L27" i="5"/>
  <c r="K10" i="5"/>
  <c r="K27" i="5"/>
  <c r="J27" i="5"/>
  <c r="J10" i="5"/>
  <c r="I10" i="5"/>
  <c r="I27" i="5"/>
  <c r="H27" i="5"/>
  <c r="H10" i="5"/>
  <c r="G27" i="5"/>
  <c r="G10" i="5"/>
  <c r="F27" i="5"/>
  <c r="F10" i="5"/>
  <c r="E27" i="5"/>
  <c r="E10" i="5"/>
  <c r="D27" i="5"/>
  <c r="D10" i="5"/>
  <c r="C10" i="5"/>
  <c r="C11" i="5" s="1"/>
  <c r="C27" i="5"/>
  <c r="C28" i="5" s="1"/>
  <c r="C41" i="6"/>
  <c r="C42" i="6" s="1"/>
  <c r="C37" i="6"/>
  <c r="C37" i="3"/>
  <c r="G19" i="3"/>
  <c r="C41" i="3" l="1"/>
  <c r="C42" i="3" s="1"/>
  <c r="E18" i="6"/>
  <c r="D19" i="6"/>
  <c r="C20" i="6"/>
  <c r="C21" i="6" s="1"/>
  <c r="C51" i="6"/>
  <c r="D28" i="6"/>
  <c r="D11" i="6"/>
  <c r="C12" i="6"/>
  <c r="E18" i="5"/>
  <c r="D19" i="5"/>
  <c r="C20" i="5"/>
  <c r="C21" i="5" s="1"/>
  <c r="C51" i="5"/>
  <c r="C12" i="5"/>
  <c r="D11" i="5"/>
  <c r="D28" i="5"/>
  <c r="C53" i="6"/>
  <c r="C66" i="6"/>
  <c r="D39" i="6"/>
  <c r="D40" i="6" s="1"/>
  <c r="E19" i="6" l="1"/>
  <c r="D20" i="6"/>
  <c r="D21" i="6" s="1"/>
  <c r="D51" i="6"/>
  <c r="C22" i="6"/>
  <c r="E28" i="6"/>
  <c r="E11" i="6"/>
  <c r="D12" i="6"/>
  <c r="C63" i="6"/>
  <c r="C13" i="6"/>
  <c r="C14" i="6" s="1"/>
  <c r="C24" i="6"/>
  <c r="C25" i="6" s="1"/>
  <c r="E19" i="5"/>
  <c r="D20" i="5"/>
  <c r="D21" i="5" s="1"/>
  <c r="D51" i="5"/>
  <c r="C22" i="5"/>
  <c r="C63" i="5"/>
  <c r="C24" i="5"/>
  <c r="C25" i="5" s="1"/>
  <c r="C13" i="5"/>
  <c r="C14" i="5" s="1"/>
  <c r="D12" i="5"/>
  <c r="E11" i="5"/>
  <c r="E28" i="5"/>
  <c r="C83" i="6"/>
  <c r="C84" i="6" s="1"/>
  <c r="C68" i="6"/>
  <c r="C67" i="6"/>
  <c r="C69" i="6" s="1"/>
  <c r="D41" i="6"/>
  <c r="D42" i="6" s="1"/>
  <c r="E20" i="6" l="1"/>
  <c r="E21" i="6" s="1"/>
  <c r="E51" i="6"/>
  <c r="D22" i="6"/>
  <c r="C23" i="6"/>
  <c r="C30" i="6" s="1"/>
  <c r="C31" i="6"/>
  <c r="I32" i="6" s="1"/>
  <c r="F28" i="6"/>
  <c r="F11" i="6"/>
  <c r="E12" i="6"/>
  <c r="D63" i="6"/>
  <c r="D13" i="6"/>
  <c r="D14" i="6" s="1"/>
  <c r="D24" i="6"/>
  <c r="C15" i="6"/>
  <c r="D25" i="6"/>
  <c r="C26" i="6"/>
  <c r="E20" i="5"/>
  <c r="E21" i="5" s="1"/>
  <c r="E51" i="5"/>
  <c r="D22" i="5"/>
  <c r="C23" i="5"/>
  <c r="C31" i="5"/>
  <c r="C32" i="5" s="1"/>
  <c r="C42" i="5" s="1"/>
  <c r="C26" i="5"/>
  <c r="C15" i="5"/>
  <c r="D63" i="5"/>
  <c r="D13" i="5"/>
  <c r="D14" i="5" s="1"/>
  <c r="D24" i="5"/>
  <c r="D25" i="5" s="1"/>
  <c r="F11" i="5"/>
  <c r="E12" i="5"/>
  <c r="F28" i="5"/>
  <c r="E39" i="6"/>
  <c r="E40" i="6" s="1"/>
  <c r="E41" i="6" s="1"/>
  <c r="E42" i="6" s="1"/>
  <c r="D66" i="6"/>
  <c r="D53" i="6"/>
  <c r="C30" i="5" l="1"/>
  <c r="E22" i="6"/>
  <c r="D23" i="6"/>
  <c r="D31" i="6"/>
  <c r="J32" i="6" s="1"/>
  <c r="C76" i="6"/>
  <c r="C65" i="6"/>
  <c r="C70" i="6" s="1"/>
  <c r="C38" i="6"/>
  <c r="G28" i="6"/>
  <c r="G11" i="6"/>
  <c r="F12" i="6"/>
  <c r="E63" i="6"/>
  <c r="E24" i="6"/>
  <c r="E25" i="6" s="1"/>
  <c r="E13" i="6"/>
  <c r="E14" i="6"/>
  <c r="D15" i="6"/>
  <c r="C50" i="6"/>
  <c r="C73" i="6"/>
  <c r="F16" i="6"/>
  <c r="F17" i="6" s="1"/>
  <c r="F18" i="6" s="1"/>
  <c r="D26" i="6"/>
  <c r="E22" i="5"/>
  <c r="D23" i="5"/>
  <c r="D31" i="5"/>
  <c r="D32" i="5" s="1"/>
  <c r="D39" i="5"/>
  <c r="D40" i="5" s="1"/>
  <c r="C66" i="5"/>
  <c r="C53" i="5"/>
  <c r="D26" i="5"/>
  <c r="D15" i="5"/>
  <c r="F16" i="5"/>
  <c r="F17" i="5" s="1"/>
  <c r="F18" i="5" s="1"/>
  <c r="C50" i="5"/>
  <c r="C73" i="5"/>
  <c r="G11" i="5"/>
  <c r="F12" i="5"/>
  <c r="E63" i="5"/>
  <c r="E13" i="5"/>
  <c r="E14" i="5" s="1"/>
  <c r="E24" i="5"/>
  <c r="E25" i="5" s="1"/>
  <c r="G28" i="5"/>
  <c r="D83" i="6"/>
  <c r="D84" i="6" s="1"/>
  <c r="D68" i="6"/>
  <c r="D67" i="6"/>
  <c r="D69" i="6" s="1"/>
  <c r="E53" i="6"/>
  <c r="E66" i="6"/>
  <c r="F39" i="6"/>
  <c r="F40" i="6" s="1"/>
  <c r="F41" i="6" s="1"/>
  <c r="F42" i="6" s="1"/>
  <c r="C76" i="5" l="1"/>
  <c r="C65" i="5"/>
  <c r="C38" i="5"/>
  <c r="E23" i="6"/>
  <c r="E31" i="6"/>
  <c r="K32" i="6" s="1"/>
  <c r="D35" i="6"/>
  <c r="D36" i="6" s="1"/>
  <c r="C75" i="6"/>
  <c r="C77" i="6" s="1"/>
  <c r="C52" i="6"/>
  <c r="C47" i="6"/>
  <c r="H28" i="6"/>
  <c r="H11" i="6"/>
  <c r="G12" i="6"/>
  <c r="F63" i="6"/>
  <c r="F13" i="6"/>
  <c r="F24" i="6"/>
  <c r="F25" i="6" s="1"/>
  <c r="F14" i="6"/>
  <c r="E15" i="6"/>
  <c r="G16" i="6"/>
  <c r="G17" i="6" s="1"/>
  <c r="G18" i="6" s="1"/>
  <c r="D50" i="6"/>
  <c r="D73" i="6"/>
  <c r="F19" i="6"/>
  <c r="E26" i="6"/>
  <c r="E23" i="5"/>
  <c r="E31" i="5"/>
  <c r="E32" i="5" s="1"/>
  <c r="D35" i="5"/>
  <c r="D36" i="5" s="1"/>
  <c r="C75" i="5"/>
  <c r="C77" i="5" s="1"/>
  <c r="C52" i="5"/>
  <c r="C55" i="5" s="1"/>
  <c r="C47" i="5"/>
  <c r="D41" i="5"/>
  <c r="D42" i="5" s="1"/>
  <c r="C68" i="5"/>
  <c r="C67" i="5"/>
  <c r="C83" i="5"/>
  <c r="C84" i="5" s="1"/>
  <c r="E26" i="5"/>
  <c r="G16" i="5"/>
  <c r="G17" i="5" s="1"/>
  <c r="G18" i="5" s="1"/>
  <c r="D50" i="5"/>
  <c r="D73" i="5"/>
  <c r="E15" i="5"/>
  <c r="F19" i="5"/>
  <c r="H11" i="5"/>
  <c r="G12" i="5"/>
  <c r="F63" i="5"/>
  <c r="F13" i="5"/>
  <c r="F14" i="5" s="1"/>
  <c r="F24" i="5"/>
  <c r="F25" i="5" s="1"/>
  <c r="H28" i="5"/>
  <c r="F53" i="6"/>
  <c r="F66" i="6"/>
  <c r="G39" i="6"/>
  <c r="G40" i="6" s="1"/>
  <c r="G41" i="6" s="1"/>
  <c r="G42" i="6" s="1"/>
  <c r="E83" i="6"/>
  <c r="E84" i="6" s="1"/>
  <c r="E68" i="6"/>
  <c r="E67" i="6"/>
  <c r="E69" i="6" s="1"/>
  <c r="D30" i="5"/>
  <c r="D30" i="6"/>
  <c r="E30" i="5" l="1"/>
  <c r="D37" i="6"/>
  <c r="D38" i="6" s="1"/>
  <c r="D47" i="6" s="1"/>
  <c r="C87" i="6"/>
  <c r="C93" i="6"/>
  <c r="C55" i="6"/>
  <c r="C56" i="6"/>
  <c r="C57" i="6" s="1"/>
  <c r="I28" i="6"/>
  <c r="I11" i="6"/>
  <c r="H12" i="6"/>
  <c r="G63" i="6"/>
  <c r="G24" i="6"/>
  <c r="G25" i="6" s="1"/>
  <c r="G13" i="6"/>
  <c r="G14" i="6"/>
  <c r="F15" i="6"/>
  <c r="H16" i="6"/>
  <c r="H17" i="6" s="1"/>
  <c r="H18" i="6" s="1"/>
  <c r="E50" i="6"/>
  <c r="E73" i="6"/>
  <c r="F20" i="6"/>
  <c r="F21" i="6" s="1"/>
  <c r="F51" i="6"/>
  <c r="G19" i="6"/>
  <c r="F26" i="6"/>
  <c r="D37" i="5"/>
  <c r="D38" i="5" s="1"/>
  <c r="E35" i="5" s="1"/>
  <c r="E36" i="5" s="1"/>
  <c r="C56" i="5"/>
  <c r="C57" i="5" s="1"/>
  <c r="C69" i="5"/>
  <c r="C70" i="5" s="1"/>
  <c r="F26" i="5"/>
  <c r="F15" i="5"/>
  <c r="H16" i="5"/>
  <c r="H17" i="5" s="1"/>
  <c r="H18" i="5" s="1"/>
  <c r="E50" i="5"/>
  <c r="E73" i="5"/>
  <c r="F20" i="5"/>
  <c r="F21" i="5" s="1"/>
  <c r="F51" i="5"/>
  <c r="G19" i="5"/>
  <c r="C92" i="5"/>
  <c r="H12" i="5"/>
  <c r="I11" i="5"/>
  <c r="G63" i="5"/>
  <c r="G13" i="5"/>
  <c r="G14" i="5" s="1"/>
  <c r="G24" i="5"/>
  <c r="G25" i="5" s="1"/>
  <c r="I28" i="5"/>
  <c r="G53" i="6"/>
  <c r="G66" i="6"/>
  <c r="H39" i="6"/>
  <c r="H40" i="6" s="1"/>
  <c r="F83" i="6"/>
  <c r="F84" i="6" s="1"/>
  <c r="F67" i="6"/>
  <c r="F69" i="6" s="1"/>
  <c r="F68" i="6"/>
  <c r="D65" i="5"/>
  <c r="D76" i="5"/>
  <c r="D65" i="6"/>
  <c r="D70" i="6" s="1"/>
  <c r="D76" i="6"/>
  <c r="E30" i="6"/>
  <c r="C93" i="5"/>
  <c r="D53" i="5"/>
  <c r="D66" i="5"/>
  <c r="E39" i="5"/>
  <c r="E40" i="5" s="1"/>
  <c r="E76" i="5" l="1"/>
  <c r="E65" i="5"/>
  <c r="C94" i="5"/>
  <c r="C92" i="6"/>
  <c r="C94" i="6" s="1"/>
  <c r="C88" i="6"/>
  <c r="J28" i="6"/>
  <c r="J11" i="6"/>
  <c r="I12" i="6"/>
  <c r="H63" i="6"/>
  <c r="H13" i="6"/>
  <c r="H14" i="6" s="1"/>
  <c r="H24" i="6"/>
  <c r="H25" i="6" s="1"/>
  <c r="G15" i="6"/>
  <c r="I16" i="6"/>
  <c r="I17" i="6" s="1"/>
  <c r="I18" i="6" s="1"/>
  <c r="F50" i="6"/>
  <c r="F73" i="6"/>
  <c r="F22" i="6"/>
  <c r="H19" i="6"/>
  <c r="G20" i="6"/>
  <c r="G21" i="6" s="1"/>
  <c r="G51" i="6"/>
  <c r="G26" i="6"/>
  <c r="E37" i="5"/>
  <c r="E38" i="5" s="1"/>
  <c r="C87" i="5"/>
  <c r="G26" i="5"/>
  <c r="G15" i="5"/>
  <c r="I16" i="5"/>
  <c r="I17" i="5" s="1"/>
  <c r="I18" i="5" s="1"/>
  <c r="F50" i="5"/>
  <c r="F73" i="5"/>
  <c r="F22" i="5"/>
  <c r="H19" i="5"/>
  <c r="G20" i="5"/>
  <c r="G21" i="5" s="1"/>
  <c r="G51" i="5"/>
  <c r="H63" i="5"/>
  <c r="H24" i="5"/>
  <c r="H25" i="5" s="1"/>
  <c r="H13" i="5"/>
  <c r="H14" i="5" s="1"/>
  <c r="I12" i="5"/>
  <c r="J11" i="5"/>
  <c r="J28" i="5"/>
  <c r="G67" i="6"/>
  <c r="G69" i="6" s="1"/>
  <c r="G68" i="6"/>
  <c r="G83" i="6"/>
  <c r="G84" i="6" s="1"/>
  <c r="E65" i="6"/>
  <c r="E70" i="6" s="1"/>
  <c r="E76" i="6"/>
  <c r="D83" i="5"/>
  <c r="D84" i="5" s="1"/>
  <c r="D67" i="5"/>
  <c r="D68" i="5"/>
  <c r="E41" i="5"/>
  <c r="E42" i="5" s="1"/>
  <c r="D52" i="6"/>
  <c r="D75" i="6"/>
  <c r="D77" i="6" s="1"/>
  <c r="E35" i="6"/>
  <c r="E36" i="6" s="1"/>
  <c r="D47" i="5"/>
  <c r="D52" i="5"/>
  <c r="D75" i="5"/>
  <c r="D77" i="5" s="1"/>
  <c r="H41" i="6"/>
  <c r="H42" i="6" s="1"/>
  <c r="C97" i="6" l="1"/>
  <c r="C98" i="6" s="1"/>
  <c r="K28" i="6"/>
  <c r="K11" i="6"/>
  <c r="J12" i="6"/>
  <c r="I63" i="6"/>
  <c r="I24" i="6"/>
  <c r="I13" i="6"/>
  <c r="I14" i="6" s="1"/>
  <c r="H15" i="6"/>
  <c r="G50" i="6"/>
  <c r="G73" i="6"/>
  <c r="J16" i="6"/>
  <c r="J17" i="6" s="1"/>
  <c r="J18" i="6" s="1"/>
  <c r="G22" i="6"/>
  <c r="F23" i="6"/>
  <c r="F30" i="6" s="1"/>
  <c r="F31" i="6"/>
  <c r="L32" i="6" s="1"/>
  <c r="I19" i="6"/>
  <c r="H20" i="6"/>
  <c r="H21" i="6" s="1"/>
  <c r="H51" i="6"/>
  <c r="I25" i="6"/>
  <c r="H26" i="6"/>
  <c r="C88" i="5"/>
  <c r="H26" i="5"/>
  <c r="H15" i="5"/>
  <c r="J16" i="5"/>
  <c r="J17" i="5" s="1"/>
  <c r="J18" i="5" s="1"/>
  <c r="G50" i="5"/>
  <c r="G73" i="5"/>
  <c r="F23" i="5"/>
  <c r="F30" i="5" s="1"/>
  <c r="F31" i="5"/>
  <c r="F32" i="5" s="1"/>
  <c r="G22" i="5"/>
  <c r="I19" i="5"/>
  <c r="H20" i="5"/>
  <c r="H21" i="5" s="1"/>
  <c r="H51" i="5"/>
  <c r="I63" i="5"/>
  <c r="I13" i="5"/>
  <c r="I14" i="5" s="1"/>
  <c r="I24" i="5"/>
  <c r="I25" i="5" s="1"/>
  <c r="J12" i="5"/>
  <c r="K11" i="5"/>
  <c r="K28" i="5"/>
  <c r="D69" i="5"/>
  <c r="D70" i="5" s="1"/>
  <c r="E53" i="5"/>
  <c r="E66" i="5"/>
  <c r="F39" i="5"/>
  <c r="F40" i="5" s="1"/>
  <c r="D56" i="6"/>
  <c r="D57" i="6" s="1"/>
  <c r="D55" i="6"/>
  <c r="D87" i="6"/>
  <c r="D93" i="6"/>
  <c r="E37" i="6"/>
  <c r="E38" i="6" s="1"/>
  <c r="F35" i="5"/>
  <c r="F36" i="5" s="1"/>
  <c r="E75" i="5"/>
  <c r="E77" i="5" s="1"/>
  <c r="E52" i="5"/>
  <c r="E47" i="5"/>
  <c r="D56" i="5"/>
  <c r="D57" i="5" s="1"/>
  <c r="D55" i="5"/>
  <c r="D93" i="5"/>
  <c r="I39" i="6"/>
  <c r="I40" i="6" s="1"/>
  <c r="H66" i="6"/>
  <c r="H53" i="6"/>
  <c r="C99" i="6" l="1"/>
  <c r="L28" i="6"/>
  <c r="L11" i="6"/>
  <c r="K12" i="6"/>
  <c r="J63" i="6"/>
  <c r="J13" i="6"/>
  <c r="J14" i="6" s="1"/>
  <c r="J24" i="6"/>
  <c r="J25" i="6" s="1"/>
  <c r="I15" i="6"/>
  <c r="K16" i="6"/>
  <c r="K17" i="6" s="1"/>
  <c r="K18" i="6" s="1"/>
  <c r="H50" i="6"/>
  <c r="H73" i="6"/>
  <c r="H22" i="6"/>
  <c r="G23" i="6"/>
  <c r="G30" i="6" s="1"/>
  <c r="G31" i="6"/>
  <c r="M32" i="6" s="1"/>
  <c r="F76" i="6"/>
  <c r="F65" i="6"/>
  <c r="F70" i="6" s="1"/>
  <c r="J19" i="6"/>
  <c r="I20" i="6"/>
  <c r="I21" i="6" s="1"/>
  <c r="I51" i="6"/>
  <c r="I26" i="6"/>
  <c r="C97" i="5"/>
  <c r="C98" i="5" s="1"/>
  <c r="I26" i="5"/>
  <c r="K16" i="5"/>
  <c r="K17" i="5" s="1"/>
  <c r="K18" i="5" s="1"/>
  <c r="H50" i="5"/>
  <c r="H73" i="5"/>
  <c r="J14" i="5"/>
  <c r="I15" i="5"/>
  <c r="F76" i="5"/>
  <c r="F65" i="5"/>
  <c r="H22" i="5"/>
  <c r="G23" i="5"/>
  <c r="G30" i="5" s="1"/>
  <c r="G31" i="5"/>
  <c r="G32" i="5" s="1"/>
  <c r="J19" i="5"/>
  <c r="I20" i="5"/>
  <c r="I21" i="5" s="1"/>
  <c r="I51" i="5"/>
  <c r="J63" i="5"/>
  <c r="J24" i="5"/>
  <c r="J25" i="5" s="1"/>
  <c r="J13" i="5"/>
  <c r="L11" i="5"/>
  <c r="K12" i="5"/>
  <c r="L28" i="5"/>
  <c r="D87" i="5"/>
  <c r="D88" i="5" s="1"/>
  <c r="E68" i="5"/>
  <c r="E67" i="5"/>
  <c r="E83" i="5"/>
  <c r="E84" i="5" s="1"/>
  <c r="D88" i="6"/>
  <c r="D92" i="6"/>
  <c r="D94" i="6" s="1"/>
  <c r="F35" i="6"/>
  <c r="F36" i="6" s="1"/>
  <c r="F37" i="6" s="1"/>
  <c r="F38" i="6" s="1"/>
  <c r="E75" i="6"/>
  <c r="E77" i="6" s="1"/>
  <c r="E52" i="6"/>
  <c r="E47" i="6"/>
  <c r="F37" i="5"/>
  <c r="F38" i="5" s="1"/>
  <c r="E55" i="5"/>
  <c r="E56" i="5"/>
  <c r="E57" i="5" s="1"/>
  <c r="D92" i="5"/>
  <c r="D94" i="5" s="1"/>
  <c r="I41" i="6"/>
  <c r="I42" i="6" s="1"/>
  <c r="H67" i="6"/>
  <c r="H69" i="6" s="1"/>
  <c r="H83" i="6"/>
  <c r="H84" i="6" s="1"/>
  <c r="H68" i="6"/>
  <c r="F41" i="5"/>
  <c r="F42" i="5" s="1"/>
  <c r="I53" i="6" l="1"/>
  <c r="I66" i="6"/>
  <c r="J39" i="6"/>
  <c r="J40" i="6" s="1"/>
  <c r="J41" i="6" s="1"/>
  <c r="J42" i="6" s="1"/>
  <c r="G35" i="5"/>
  <c r="G36" i="5" s="1"/>
  <c r="G37" i="5" s="1"/>
  <c r="G38" i="5" s="1"/>
  <c r="F52" i="5"/>
  <c r="M28" i="6"/>
  <c r="M11" i="6"/>
  <c r="L12" i="6"/>
  <c r="K24" i="6"/>
  <c r="K25" i="6" s="1"/>
  <c r="K62" i="6"/>
  <c r="K13" i="6"/>
  <c r="K14" i="6" s="1"/>
  <c r="L16" i="6"/>
  <c r="L17" i="6" s="1"/>
  <c r="L18" i="6" s="1"/>
  <c r="I50" i="6"/>
  <c r="I73" i="6"/>
  <c r="J15" i="6"/>
  <c r="I22" i="6"/>
  <c r="H23" i="6"/>
  <c r="H30" i="6" s="1"/>
  <c r="H31" i="6"/>
  <c r="N32" i="6" s="1"/>
  <c r="G76" i="6"/>
  <c r="G65" i="6"/>
  <c r="G70" i="6" s="1"/>
  <c r="K19" i="6"/>
  <c r="J20" i="6"/>
  <c r="J21" i="6" s="1"/>
  <c r="J51" i="6"/>
  <c r="J26" i="6"/>
  <c r="C99" i="5"/>
  <c r="J26" i="5"/>
  <c r="J15" i="5"/>
  <c r="L16" i="5"/>
  <c r="L17" i="5" s="1"/>
  <c r="L18" i="5" s="1"/>
  <c r="I50" i="5"/>
  <c r="I73" i="5"/>
  <c r="I22" i="5"/>
  <c r="H23" i="5"/>
  <c r="H30" i="5" s="1"/>
  <c r="H31" i="5"/>
  <c r="H32" i="5" s="1"/>
  <c r="G76" i="5"/>
  <c r="G65" i="5"/>
  <c r="K19" i="5"/>
  <c r="J20" i="5"/>
  <c r="J21" i="5" s="1"/>
  <c r="J51" i="5"/>
  <c r="M11" i="5"/>
  <c r="L12" i="5"/>
  <c r="K13" i="5"/>
  <c r="K14" i="5" s="1"/>
  <c r="K24" i="5"/>
  <c r="K25" i="5" s="1"/>
  <c r="K62" i="5"/>
  <c r="M28" i="5"/>
  <c r="E69" i="5"/>
  <c r="E70" i="5" s="1"/>
  <c r="E93" i="5"/>
  <c r="D97" i="6"/>
  <c r="D98" i="6" s="1"/>
  <c r="E87" i="6"/>
  <c r="E93" i="6"/>
  <c r="E55" i="6"/>
  <c r="E56" i="6"/>
  <c r="E57" i="6" s="1"/>
  <c r="F47" i="6"/>
  <c r="F52" i="6"/>
  <c r="F75" i="6"/>
  <c r="F77" i="6" s="1"/>
  <c r="G35" i="6"/>
  <c r="G36" i="6" s="1"/>
  <c r="G37" i="6" s="1"/>
  <c r="G38" i="6" s="1"/>
  <c r="E92" i="5"/>
  <c r="D97" i="5"/>
  <c r="D98" i="5" s="1"/>
  <c r="G39" i="5"/>
  <c r="G40" i="5" s="1"/>
  <c r="F66" i="5"/>
  <c r="F53" i="5"/>
  <c r="F47" i="5"/>
  <c r="F75" i="5"/>
  <c r="F77" i="5" s="1"/>
  <c r="I83" i="6" l="1"/>
  <c r="I84" i="6" s="1"/>
  <c r="I67" i="6"/>
  <c r="I69" i="6" s="1"/>
  <c r="I68" i="6"/>
  <c r="K39" i="6"/>
  <c r="K40" i="6" s="1"/>
  <c r="K41" i="6" s="1"/>
  <c r="K42" i="6" s="1"/>
  <c r="J66" i="6"/>
  <c r="J53" i="6"/>
  <c r="G52" i="5"/>
  <c r="H35" i="5"/>
  <c r="H36" i="5" s="1"/>
  <c r="H37" i="5" s="1"/>
  <c r="H38" i="5" s="1"/>
  <c r="I35" i="5" s="1"/>
  <c r="I36" i="5" s="1"/>
  <c r="N28" i="6"/>
  <c r="N11" i="6"/>
  <c r="M12" i="6"/>
  <c r="L62" i="6"/>
  <c r="L13" i="6"/>
  <c r="L24" i="6"/>
  <c r="L25" i="6" s="1"/>
  <c r="K63" i="6"/>
  <c r="K64" i="6"/>
  <c r="K81" i="6"/>
  <c r="K15" i="6"/>
  <c r="L14" i="6"/>
  <c r="M16" i="6"/>
  <c r="M17" i="6" s="1"/>
  <c r="M18" i="6" s="1"/>
  <c r="J50" i="6"/>
  <c r="J73" i="6"/>
  <c r="I23" i="6"/>
  <c r="I30" i="6" s="1"/>
  <c r="I31" i="6"/>
  <c r="O32" i="6" s="1"/>
  <c r="J22" i="6"/>
  <c r="H76" i="6"/>
  <c r="H65" i="6"/>
  <c r="H70" i="6" s="1"/>
  <c r="L19" i="6"/>
  <c r="K20" i="6"/>
  <c r="K21" i="6" s="1"/>
  <c r="K51" i="6"/>
  <c r="K26" i="6"/>
  <c r="D99" i="5"/>
  <c r="L25" i="5"/>
  <c r="K26" i="5"/>
  <c r="L14" i="5"/>
  <c r="K15" i="5"/>
  <c r="M16" i="5"/>
  <c r="M17" i="5" s="1"/>
  <c r="M18" i="5" s="1"/>
  <c r="J50" i="5"/>
  <c r="J73" i="5"/>
  <c r="J22" i="5"/>
  <c r="I23" i="5"/>
  <c r="I30" i="5" s="1"/>
  <c r="I31" i="5"/>
  <c r="I32" i="5" s="1"/>
  <c r="H76" i="5"/>
  <c r="H65" i="5"/>
  <c r="L19" i="5"/>
  <c r="K20" i="5"/>
  <c r="K21" i="5" s="1"/>
  <c r="K51" i="5"/>
  <c r="N11" i="5"/>
  <c r="M12" i="5"/>
  <c r="L13" i="5"/>
  <c r="L24" i="5"/>
  <c r="L62" i="5"/>
  <c r="K81" i="5"/>
  <c r="K63" i="5"/>
  <c r="K64" i="5"/>
  <c r="N28" i="5"/>
  <c r="E87" i="5"/>
  <c r="D99" i="6"/>
  <c r="E92" i="6"/>
  <c r="E94" i="6" s="1"/>
  <c r="F95" i="6" s="1"/>
  <c r="E88" i="6"/>
  <c r="G47" i="6"/>
  <c r="G52" i="6"/>
  <c r="G75" i="6"/>
  <c r="G77" i="6" s="1"/>
  <c r="H35" i="6"/>
  <c r="H36" i="6" s="1"/>
  <c r="H37" i="6" s="1"/>
  <c r="H38" i="6" s="1"/>
  <c r="F55" i="6"/>
  <c r="F56" i="6"/>
  <c r="F57" i="6" s="1"/>
  <c r="F87" i="6"/>
  <c r="F93" i="6"/>
  <c r="G41" i="5"/>
  <c r="G42" i="5" s="1"/>
  <c r="F68" i="5"/>
  <c r="F67" i="5"/>
  <c r="F83" i="5"/>
  <c r="F84" i="5" s="1"/>
  <c r="F93" i="5" s="1"/>
  <c r="E94" i="5"/>
  <c r="F95" i="5" s="1"/>
  <c r="F56" i="5"/>
  <c r="F57" i="5" s="1"/>
  <c r="F55" i="5"/>
  <c r="J67" i="6" l="1"/>
  <c r="J69" i="6" s="1"/>
  <c r="J68" i="6"/>
  <c r="J83" i="6"/>
  <c r="J84" i="6" s="1"/>
  <c r="K53" i="6"/>
  <c r="L39" i="6"/>
  <c r="L40" i="6" s="1"/>
  <c r="L41" i="6" s="1"/>
  <c r="L42" i="6" s="1"/>
  <c r="O28" i="6"/>
  <c r="O11" i="6"/>
  <c r="N12" i="6"/>
  <c r="M24" i="6"/>
  <c r="M25" i="6" s="1"/>
  <c r="M62" i="6"/>
  <c r="M13" i="6"/>
  <c r="M14" i="6" s="1"/>
  <c r="L63" i="6"/>
  <c r="L64" i="6"/>
  <c r="L81" i="6"/>
  <c r="K50" i="6"/>
  <c r="K73" i="6"/>
  <c r="N16" i="6"/>
  <c r="N17" i="6" s="1"/>
  <c r="N18" i="6" s="1"/>
  <c r="L15" i="6"/>
  <c r="I76" i="6"/>
  <c r="I65" i="6"/>
  <c r="I70" i="6" s="1"/>
  <c r="J23" i="6"/>
  <c r="J30" i="6" s="1"/>
  <c r="J31" i="6"/>
  <c r="P32" i="6" s="1"/>
  <c r="K22" i="6"/>
  <c r="M19" i="6"/>
  <c r="L20" i="6"/>
  <c r="L21" i="6" s="1"/>
  <c r="L51" i="6"/>
  <c r="L26" i="6"/>
  <c r="L26" i="5"/>
  <c r="L15" i="5"/>
  <c r="N16" i="5"/>
  <c r="N17" i="5" s="1"/>
  <c r="N18" i="5" s="1"/>
  <c r="K50" i="5"/>
  <c r="K73" i="5"/>
  <c r="K22" i="5"/>
  <c r="J23" i="5"/>
  <c r="J30" i="5" s="1"/>
  <c r="J31" i="5"/>
  <c r="J32" i="5" s="1"/>
  <c r="I76" i="5"/>
  <c r="I65" i="5"/>
  <c r="M19" i="5"/>
  <c r="L20" i="5"/>
  <c r="L21" i="5" s="1"/>
  <c r="L51" i="5"/>
  <c r="O11" i="5"/>
  <c r="N12" i="5"/>
  <c r="M13" i="5"/>
  <c r="M14" i="5" s="1"/>
  <c r="M24" i="5"/>
  <c r="M25" i="5" s="1"/>
  <c r="M62" i="5"/>
  <c r="L81" i="5"/>
  <c r="L63" i="5"/>
  <c r="L64" i="5"/>
  <c r="O28" i="5"/>
  <c r="E88" i="5"/>
  <c r="E97" i="6"/>
  <c r="E98" i="6" s="1"/>
  <c r="H47" i="6"/>
  <c r="H52" i="6"/>
  <c r="H75" i="6"/>
  <c r="H77" i="6" s="1"/>
  <c r="I35" i="6"/>
  <c r="I36" i="6" s="1"/>
  <c r="I37" i="6" s="1"/>
  <c r="I38" i="6" s="1"/>
  <c r="G55" i="6"/>
  <c r="G56" i="6"/>
  <c r="G57" i="6" s="1"/>
  <c r="G87" i="6"/>
  <c r="G93" i="6"/>
  <c r="F92" i="6"/>
  <c r="F94" i="6" s="1"/>
  <c r="F88" i="6"/>
  <c r="I37" i="5"/>
  <c r="I38" i="5" s="1"/>
  <c r="G75" i="5"/>
  <c r="G77" i="5" s="1"/>
  <c r="G47" i="5"/>
  <c r="F69" i="5"/>
  <c r="F70" i="5" s="1"/>
  <c r="F92" i="5"/>
  <c r="F94" i="5" s="1"/>
  <c r="H52" i="5"/>
  <c r="K66" i="6"/>
  <c r="G53" i="5"/>
  <c r="G66" i="5"/>
  <c r="H39" i="5"/>
  <c r="H40" i="5" s="1"/>
  <c r="P28" i="6" l="1"/>
  <c r="P11" i="6"/>
  <c r="O12" i="6"/>
  <c r="N24" i="6"/>
  <c r="N25" i="6" s="1"/>
  <c r="N62" i="6"/>
  <c r="N13" i="6"/>
  <c r="N14" i="6" s="1"/>
  <c r="M63" i="6"/>
  <c r="M64" i="6"/>
  <c r="M81" i="6"/>
  <c r="M15" i="6"/>
  <c r="O16" i="6"/>
  <c r="O17" i="6" s="1"/>
  <c r="O18" i="6" s="1"/>
  <c r="L50" i="6"/>
  <c r="L73" i="6"/>
  <c r="J76" i="6"/>
  <c r="J65" i="6"/>
  <c r="J70" i="6" s="1"/>
  <c r="L22" i="6"/>
  <c r="K23" i="6"/>
  <c r="K30" i="6" s="1"/>
  <c r="K31" i="6"/>
  <c r="Q32" i="6" s="1"/>
  <c r="N19" i="6"/>
  <c r="M20" i="6"/>
  <c r="M21" i="6" s="1"/>
  <c r="M51" i="6"/>
  <c r="M26" i="6"/>
  <c r="M26" i="5"/>
  <c r="M15" i="5"/>
  <c r="O16" i="5"/>
  <c r="O17" i="5" s="1"/>
  <c r="O18" i="5" s="1"/>
  <c r="L50" i="5"/>
  <c r="L73" i="5"/>
  <c r="L22" i="5"/>
  <c r="K23" i="5"/>
  <c r="K30" i="5" s="1"/>
  <c r="K31" i="5"/>
  <c r="K32" i="5" s="1"/>
  <c r="J76" i="5"/>
  <c r="J65" i="5"/>
  <c r="N19" i="5"/>
  <c r="M20" i="5"/>
  <c r="M21" i="5" s="1"/>
  <c r="M51" i="5"/>
  <c r="P11" i="5"/>
  <c r="O12" i="5"/>
  <c r="N13" i="5"/>
  <c r="N14" i="5" s="1"/>
  <c r="N24" i="5"/>
  <c r="N25" i="5" s="1"/>
  <c r="N62" i="5"/>
  <c r="M64" i="5"/>
  <c r="M81" i="5"/>
  <c r="M63" i="5"/>
  <c r="P28" i="5"/>
  <c r="E97" i="5"/>
  <c r="E98" i="5" s="1"/>
  <c r="E99" i="6"/>
  <c r="I47" i="6"/>
  <c r="I52" i="6"/>
  <c r="I75" i="6"/>
  <c r="I77" i="6" s="1"/>
  <c r="J35" i="6"/>
  <c r="J36" i="6" s="1"/>
  <c r="H55" i="6"/>
  <c r="H56" i="6"/>
  <c r="H57" i="6" s="1"/>
  <c r="H87" i="6"/>
  <c r="H93" i="6"/>
  <c r="G92" i="6"/>
  <c r="G94" i="6" s="1"/>
  <c r="G88" i="6"/>
  <c r="F97" i="6"/>
  <c r="F98" i="6" s="1"/>
  <c r="F87" i="5"/>
  <c r="J35" i="5"/>
  <c r="J36" i="5" s="1"/>
  <c r="I52" i="5"/>
  <c r="M39" i="6"/>
  <c r="M40" i="6" s="1"/>
  <c r="L66" i="6"/>
  <c r="L53" i="6"/>
  <c r="K83" i="6"/>
  <c r="K84" i="6" s="1"/>
  <c r="K68" i="6"/>
  <c r="K67" i="6"/>
  <c r="K69" i="6" s="1"/>
  <c r="G55" i="5"/>
  <c r="G56" i="5"/>
  <c r="G57" i="5" s="1"/>
  <c r="G83" i="5"/>
  <c r="G84" i="5" s="1"/>
  <c r="G93" i="5" s="1"/>
  <c r="G67" i="5"/>
  <c r="G68" i="5"/>
  <c r="H41" i="5"/>
  <c r="H42" i="5" s="1"/>
  <c r="Q28" i="6" l="1"/>
  <c r="Q11" i="6"/>
  <c r="P12" i="6"/>
  <c r="O24" i="6"/>
  <c r="O25" i="6" s="1"/>
  <c r="O62" i="6"/>
  <c r="O13" i="6"/>
  <c r="O14" i="6" s="1"/>
  <c r="N63" i="6"/>
  <c r="N64" i="6"/>
  <c r="N81" i="6"/>
  <c r="N15" i="6"/>
  <c r="M50" i="6"/>
  <c r="M73" i="6"/>
  <c r="P16" i="6"/>
  <c r="P17" i="6" s="1"/>
  <c r="P18" i="6" s="1"/>
  <c r="M22" i="6"/>
  <c r="L23" i="6"/>
  <c r="L30" i="6" s="1"/>
  <c r="L31" i="6"/>
  <c r="R32" i="6" s="1"/>
  <c r="K76" i="6"/>
  <c r="K65" i="6"/>
  <c r="K70" i="6" s="1"/>
  <c r="O19" i="6"/>
  <c r="N20" i="6"/>
  <c r="N21" i="6" s="1"/>
  <c r="N51" i="6"/>
  <c r="N26" i="6"/>
  <c r="N26" i="5"/>
  <c r="N15" i="5"/>
  <c r="P16" i="5"/>
  <c r="P17" i="5" s="1"/>
  <c r="P18" i="5" s="1"/>
  <c r="M50" i="5"/>
  <c r="M73" i="5"/>
  <c r="M22" i="5"/>
  <c r="L23" i="5"/>
  <c r="L30" i="5" s="1"/>
  <c r="L31" i="5"/>
  <c r="L32" i="5" s="1"/>
  <c r="K76" i="5"/>
  <c r="K65" i="5"/>
  <c r="O19" i="5"/>
  <c r="N20" i="5"/>
  <c r="N21" i="5" s="1"/>
  <c r="N51" i="5"/>
  <c r="Q11" i="5"/>
  <c r="P12" i="5"/>
  <c r="O13" i="5"/>
  <c r="O14" i="5" s="1"/>
  <c r="O24" i="5"/>
  <c r="O25" i="5" s="1"/>
  <c r="O62" i="5"/>
  <c r="N64" i="5"/>
  <c r="N81" i="5"/>
  <c r="C8" i="2"/>
  <c r="N63" i="5"/>
  <c r="Q28" i="5"/>
  <c r="E99" i="5"/>
  <c r="F99" i="6"/>
  <c r="I55" i="6"/>
  <c r="I56" i="6"/>
  <c r="I57" i="6" s="1"/>
  <c r="I87" i="6"/>
  <c r="I93" i="6"/>
  <c r="H92" i="6"/>
  <c r="H94" i="6" s="1"/>
  <c r="I95" i="6" s="1"/>
  <c r="H88" i="6"/>
  <c r="G97" i="6"/>
  <c r="G98" i="6" s="1"/>
  <c r="F88" i="5"/>
  <c r="J37" i="5"/>
  <c r="J38" i="5" s="1"/>
  <c r="M41" i="6"/>
  <c r="M42" i="6" s="1"/>
  <c r="N39" i="6" s="1"/>
  <c r="N40" i="6" s="1"/>
  <c r="L83" i="6"/>
  <c r="L84" i="6" s="1"/>
  <c r="L68" i="6"/>
  <c r="L67" i="6"/>
  <c r="L69" i="6" s="1"/>
  <c r="G92" i="5"/>
  <c r="G94" i="5" s="1"/>
  <c r="G69" i="5"/>
  <c r="G70" i="5" s="1"/>
  <c r="G87" i="5" s="1"/>
  <c r="G88" i="5" s="1"/>
  <c r="H53" i="5"/>
  <c r="H66" i="5"/>
  <c r="I39" i="5"/>
  <c r="I40" i="5" s="1"/>
  <c r="I41" i="5" s="1"/>
  <c r="I42" i="5" s="1"/>
  <c r="H75" i="5"/>
  <c r="H77" i="5" s="1"/>
  <c r="H47" i="5"/>
  <c r="J37" i="6"/>
  <c r="J38" i="6" s="1"/>
  <c r="K35" i="5" l="1"/>
  <c r="K36" i="5" s="1"/>
  <c r="K37" i="5" s="1"/>
  <c r="K38" i="5" s="1"/>
  <c r="J52" i="5"/>
  <c r="R28" i="6"/>
  <c r="R11" i="6"/>
  <c r="Q12" i="6"/>
  <c r="P24" i="6"/>
  <c r="P25" i="6" s="1"/>
  <c r="P62" i="6"/>
  <c r="P13" i="6"/>
  <c r="P14" i="6" s="1"/>
  <c r="O63" i="6"/>
  <c r="O64" i="6"/>
  <c r="O81" i="6"/>
  <c r="O15" i="6"/>
  <c r="Q16" i="6"/>
  <c r="Q17" i="6" s="1"/>
  <c r="Q18" i="6" s="1"/>
  <c r="N50" i="6"/>
  <c r="N73" i="6"/>
  <c r="N22" i="6"/>
  <c r="M23" i="6"/>
  <c r="M30" i="6" s="1"/>
  <c r="M31" i="6"/>
  <c r="S32" i="6" s="1"/>
  <c r="L76" i="6"/>
  <c r="L65" i="6"/>
  <c r="L70" i="6" s="1"/>
  <c r="P19" i="6"/>
  <c r="O20" i="6"/>
  <c r="O21" i="6" s="1"/>
  <c r="O51" i="6"/>
  <c r="O26" i="6"/>
  <c r="O26" i="5"/>
  <c r="O15" i="5"/>
  <c r="Q16" i="5"/>
  <c r="Q17" i="5" s="1"/>
  <c r="Q18" i="5" s="1"/>
  <c r="N50" i="5"/>
  <c r="N73" i="5"/>
  <c r="N22" i="5"/>
  <c r="M23" i="5"/>
  <c r="M30" i="5" s="1"/>
  <c r="M31" i="5"/>
  <c r="M32" i="5" s="1"/>
  <c r="L76" i="5"/>
  <c r="L65" i="5"/>
  <c r="P19" i="5"/>
  <c r="O20" i="5"/>
  <c r="O21" i="5" s="1"/>
  <c r="O51" i="5"/>
  <c r="R11" i="5"/>
  <c r="Q12" i="5"/>
  <c r="P24" i="5"/>
  <c r="P25" i="5" s="1"/>
  <c r="P62" i="5"/>
  <c r="P13" i="5"/>
  <c r="P14" i="5" s="1"/>
  <c r="O64" i="5"/>
  <c r="O81" i="5"/>
  <c r="O63" i="5"/>
  <c r="R28" i="5"/>
  <c r="G99" i="6"/>
  <c r="I92" i="6"/>
  <c r="I94" i="6" s="1"/>
  <c r="I88" i="6"/>
  <c r="H97" i="6"/>
  <c r="H98" i="6" s="1"/>
  <c r="F97" i="5"/>
  <c r="F98" i="5" s="1"/>
  <c r="N41" i="6"/>
  <c r="N42" i="6" s="1"/>
  <c r="G97" i="5"/>
  <c r="I47" i="5"/>
  <c r="I75" i="5"/>
  <c r="I77" i="5" s="1"/>
  <c r="I53" i="5"/>
  <c r="I66" i="5"/>
  <c r="J39" i="5"/>
  <c r="J40" i="5" s="1"/>
  <c r="J41" i="5" s="1"/>
  <c r="J42" i="5" s="1"/>
  <c r="J47" i="5" s="1"/>
  <c r="H55" i="5"/>
  <c r="H56" i="5"/>
  <c r="H57" i="5" s="1"/>
  <c r="H68" i="5"/>
  <c r="H67" i="5"/>
  <c r="H83" i="5"/>
  <c r="H84" i="5" s="1"/>
  <c r="H93" i="5" s="1"/>
  <c r="K35" i="6"/>
  <c r="K36" i="6" s="1"/>
  <c r="J75" i="6"/>
  <c r="J77" i="6" s="1"/>
  <c r="J52" i="6"/>
  <c r="J47" i="6"/>
  <c r="M53" i="6"/>
  <c r="M66" i="6"/>
  <c r="S28" i="6" l="1"/>
  <c r="S11" i="6"/>
  <c r="R12" i="6"/>
  <c r="Q24" i="6"/>
  <c r="Q25" i="6" s="1"/>
  <c r="Q62" i="6"/>
  <c r="Q13" i="6"/>
  <c r="P63" i="6"/>
  <c r="P64" i="6"/>
  <c r="P81" i="6"/>
  <c r="R16" i="6"/>
  <c r="R17" i="6" s="1"/>
  <c r="R18" i="6" s="1"/>
  <c r="O50" i="6"/>
  <c r="O73" i="6"/>
  <c r="P15" i="6"/>
  <c r="Q14" i="6"/>
  <c r="O22" i="6"/>
  <c r="N23" i="6"/>
  <c r="N30" i="6" s="1"/>
  <c r="N31" i="6"/>
  <c r="T32" i="6" s="1"/>
  <c r="M76" i="6"/>
  <c r="M65" i="6"/>
  <c r="Q19" i="6"/>
  <c r="P20" i="6"/>
  <c r="P21" i="6" s="1"/>
  <c r="P51" i="6"/>
  <c r="P26" i="6"/>
  <c r="P26" i="5"/>
  <c r="P15" i="5"/>
  <c r="R16" i="5"/>
  <c r="R17" i="5" s="1"/>
  <c r="R18" i="5" s="1"/>
  <c r="O50" i="5"/>
  <c r="O73" i="5"/>
  <c r="O22" i="5"/>
  <c r="N23" i="5"/>
  <c r="N30" i="5" s="1"/>
  <c r="N31" i="5"/>
  <c r="N32" i="5" s="1"/>
  <c r="M76" i="5"/>
  <c r="M65" i="5"/>
  <c r="Q19" i="5"/>
  <c r="P20" i="5"/>
  <c r="P21" i="5" s="1"/>
  <c r="P51" i="5"/>
  <c r="S11" i="5"/>
  <c r="R12" i="5"/>
  <c r="Q13" i="5"/>
  <c r="Q14" i="5" s="1"/>
  <c r="Q24" i="5"/>
  <c r="Q25" i="5" s="1"/>
  <c r="Q62" i="5"/>
  <c r="P64" i="5"/>
  <c r="P81" i="5"/>
  <c r="P63" i="5"/>
  <c r="S28" i="5"/>
  <c r="H99" i="6"/>
  <c r="I97" i="6"/>
  <c r="I98" i="6" s="1"/>
  <c r="F99" i="5"/>
  <c r="G98" i="5"/>
  <c r="J75" i="5"/>
  <c r="J77" i="5" s="1"/>
  <c r="J53" i="5"/>
  <c r="J66" i="5"/>
  <c r="K39" i="5"/>
  <c r="K40" i="5" s="1"/>
  <c r="K41" i="5" s="1"/>
  <c r="K42" i="5" s="1"/>
  <c r="I55" i="5"/>
  <c r="I56" i="5"/>
  <c r="I57" i="5" s="1"/>
  <c r="I68" i="5"/>
  <c r="I67" i="5"/>
  <c r="I83" i="5"/>
  <c r="I84" i="5" s="1"/>
  <c r="I93" i="5" s="1"/>
  <c r="H92" i="5"/>
  <c r="H94" i="5" s="1"/>
  <c r="I95" i="5" s="1"/>
  <c r="H69" i="5"/>
  <c r="H70" i="5" s="1"/>
  <c r="H87" i="5" s="1"/>
  <c r="H88" i="5" s="1"/>
  <c r="K37" i="6"/>
  <c r="K38" i="6" s="1"/>
  <c r="J87" i="6"/>
  <c r="J93" i="6"/>
  <c r="J55" i="6"/>
  <c r="J56" i="6"/>
  <c r="J57" i="6" s="1"/>
  <c r="L35" i="5"/>
  <c r="L36" i="5" s="1"/>
  <c r="K52" i="5"/>
  <c r="O39" i="6"/>
  <c r="O40" i="6" s="1"/>
  <c r="N66" i="6"/>
  <c r="N53" i="6"/>
  <c r="M67" i="6"/>
  <c r="M69" i="6" s="1"/>
  <c r="M68" i="6"/>
  <c r="M83" i="6"/>
  <c r="M84" i="6" s="1"/>
  <c r="T28" i="6" l="1"/>
  <c r="T11" i="6"/>
  <c r="S12" i="6"/>
  <c r="R24" i="6"/>
  <c r="R25" i="6" s="1"/>
  <c r="R62" i="6"/>
  <c r="R13" i="6"/>
  <c r="R14" i="6" s="1"/>
  <c r="Q63" i="6"/>
  <c r="Q64" i="6"/>
  <c r="Q81" i="6"/>
  <c r="S16" i="6"/>
  <c r="S17" i="6" s="1"/>
  <c r="S18" i="6" s="1"/>
  <c r="P50" i="6"/>
  <c r="P73" i="6"/>
  <c r="Q15" i="6"/>
  <c r="P22" i="6"/>
  <c r="O23" i="6"/>
  <c r="O30" i="6" s="1"/>
  <c r="O31" i="6"/>
  <c r="U32" i="6" s="1"/>
  <c r="N76" i="6"/>
  <c r="N65" i="6"/>
  <c r="R19" i="6"/>
  <c r="Q20" i="6"/>
  <c r="Q21" i="6" s="1"/>
  <c r="Q51" i="6"/>
  <c r="Q26" i="6"/>
  <c r="Q26" i="5"/>
  <c r="Q15" i="5"/>
  <c r="S16" i="5"/>
  <c r="S17" i="5" s="1"/>
  <c r="S18" i="5" s="1"/>
  <c r="P50" i="5"/>
  <c r="P73" i="5"/>
  <c r="P22" i="5"/>
  <c r="O23" i="5"/>
  <c r="O30" i="5" s="1"/>
  <c r="O31" i="5"/>
  <c r="O32" i="5" s="1"/>
  <c r="N76" i="5"/>
  <c r="N65" i="5"/>
  <c r="R19" i="5"/>
  <c r="Q20" i="5"/>
  <c r="Q21" i="5" s="1"/>
  <c r="Q51" i="5"/>
  <c r="T11" i="5"/>
  <c r="S12" i="5"/>
  <c r="R13" i="5"/>
  <c r="R14" i="5" s="1"/>
  <c r="R24" i="5"/>
  <c r="R25" i="5" s="1"/>
  <c r="R62" i="5"/>
  <c r="Q64" i="5"/>
  <c r="Q81" i="5"/>
  <c r="Q63" i="5"/>
  <c r="T28" i="5"/>
  <c r="I99" i="6"/>
  <c r="G99" i="5"/>
  <c r="K53" i="5"/>
  <c r="K66" i="5"/>
  <c r="L39" i="5"/>
  <c r="L40" i="5" s="1"/>
  <c r="L41" i="5" s="1"/>
  <c r="L42" i="5" s="1"/>
  <c r="J56" i="5"/>
  <c r="J57" i="5" s="1"/>
  <c r="J55" i="5"/>
  <c r="J68" i="5"/>
  <c r="J67" i="5"/>
  <c r="J83" i="5"/>
  <c r="J84" i="5" s="1"/>
  <c r="J93" i="5" s="1"/>
  <c r="I92" i="5"/>
  <c r="I94" i="5" s="1"/>
  <c r="I69" i="5"/>
  <c r="I70" i="5" s="1"/>
  <c r="I87" i="5" s="1"/>
  <c r="I88" i="5" s="1"/>
  <c r="H97" i="5"/>
  <c r="H98" i="5" s="1"/>
  <c r="J88" i="6"/>
  <c r="J92" i="6"/>
  <c r="J94" i="6" s="1"/>
  <c r="L37" i="5"/>
  <c r="L38" i="5" s="1"/>
  <c r="O41" i="6"/>
  <c r="O42" i="6" s="1"/>
  <c r="N83" i="6"/>
  <c r="N84" i="6" s="1"/>
  <c r="N68" i="6"/>
  <c r="N67" i="6"/>
  <c r="N69" i="6" s="1"/>
  <c r="M70" i="6"/>
  <c r="K47" i="5"/>
  <c r="K75" i="5"/>
  <c r="K77" i="5" s="1"/>
  <c r="L35" i="6"/>
  <c r="L36" i="6" s="1"/>
  <c r="K47" i="6"/>
  <c r="K52" i="6"/>
  <c r="K75" i="6"/>
  <c r="K77" i="6" s="1"/>
  <c r="P39" i="6" l="1"/>
  <c r="P40" i="6" s="1"/>
  <c r="P41" i="6" s="1"/>
  <c r="P42" i="6" s="1"/>
  <c r="Q39" i="6" s="1"/>
  <c r="Q40" i="6" s="1"/>
  <c r="O53" i="6"/>
  <c r="O66" i="6"/>
  <c r="O68" i="6" s="1"/>
  <c r="N70" i="6"/>
  <c r="M35" i="5"/>
  <c r="M36" i="5" s="1"/>
  <c r="M37" i="5" s="1"/>
  <c r="M38" i="5" s="1"/>
  <c r="L52" i="5"/>
  <c r="U28" i="6"/>
  <c r="U11" i="6"/>
  <c r="T12" i="6"/>
  <c r="S24" i="6"/>
  <c r="S25" i="6" s="1"/>
  <c r="S62" i="6"/>
  <c r="S13" i="6"/>
  <c r="S14" i="6" s="1"/>
  <c r="R63" i="6"/>
  <c r="R64" i="6"/>
  <c r="R81" i="6"/>
  <c r="T16" i="6"/>
  <c r="T17" i="6" s="1"/>
  <c r="T18" i="6" s="1"/>
  <c r="Q50" i="6"/>
  <c r="Q73" i="6"/>
  <c r="R15" i="6"/>
  <c r="Q22" i="6"/>
  <c r="P23" i="6"/>
  <c r="P30" i="6" s="1"/>
  <c r="P31" i="6"/>
  <c r="V32" i="6" s="1"/>
  <c r="O76" i="6"/>
  <c r="O65" i="6"/>
  <c r="S19" i="6"/>
  <c r="R20" i="6"/>
  <c r="R21" i="6" s="1"/>
  <c r="R51" i="6"/>
  <c r="R26" i="6"/>
  <c r="R26" i="5"/>
  <c r="R15" i="5"/>
  <c r="T16" i="5"/>
  <c r="T17" i="5" s="1"/>
  <c r="T18" i="5" s="1"/>
  <c r="Q50" i="5"/>
  <c r="Q73" i="5"/>
  <c r="Q22" i="5"/>
  <c r="P23" i="5"/>
  <c r="P30" i="5" s="1"/>
  <c r="P31" i="5"/>
  <c r="P32" i="5" s="1"/>
  <c r="O76" i="5"/>
  <c r="O65" i="5"/>
  <c r="S19" i="5"/>
  <c r="R20" i="5"/>
  <c r="R21" i="5" s="1"/>
  <c r="R51" i="5"/>
  <c r="U11" i="5"/>
  <c r="T12" i="5"/>
  <c r="S13" i="5"/>
  <c r="S14" i="5" s="1"/>
  <c r="S24" i="5"/>
  <c r="S25" i="5" s="1"/>
  <c r="S62" i="5"/>
  <c r="R64" i="5"/>
  <c r="R81" i="5"/>
  <c r="R63" i="5"/>
  <c r="U28" i="5"/>
  <c r="H99" i="5"/>
  <c r="L53" i="5"/>
  <c r="L66" i="5"/>
  <c r="M39" i="5"/>
  <c r="M40" i="5" s="1"/>
  <c r="M41" i="5" s="1"/>
  <c r="M42" i="5" s="1"/>
  <c r="K83" i="5"/>
  <c r="K84" i="5" s="1"/>
  <c r="K93" i="5" s="1"/>
  <c r="K68" i="5"/>
  <c r="K67" i="5"/>
  <c r="J92" i="5"/>
  <c r="J94" i="5" s="1"/>
  <c r="J69" i="5"/>
  <c r="J70" i="5" s="1"/>
  <c r="J87" i="5" s="1"/>
  <c r="J88" i="5" s="1"/>
  <c r="I97" i="5"/>
  <c r="I98" i="5" s="1"/>
  <c r="J97" i="6"/>
  <c r="J98" i="6" s="1"/>
  <c r="L37" i="6"/>
  <c r="L38" i="6" s="1"/>
  <c r="L47" i="6" s="1"/>
  <c r="K56" i="6"/>
  <c r="K57" i="6" s="1"/>
  <c r="K55" i="6"/>
  <c r="K93" i="6"/>
  <c r="K87" i="6"/>
  <c r="K55" i="5"/>
  <c r="K56" i="5"/>
  <c r="K57" i="5" s="1"/>
  <c r="L75" i="5"/>
  <c r="L77" i="5" s="1"/>
  <c r="L47" i="5"/>
  <c r="O67" i="6" l="1"/>
  <c r="O83" i="6"/>
  <c r="O84" i="6" s="1"/>
  <c r="N35" i="5"/>
  <c r="N36" i="5" s="1"/>
  <c r="N37" i="5" s="1"/>
  <c r="N38" i="5" s="1"/>
  <c r="M52" i="5"/>
  <c r="L56" i="5"/>
  <c r="L57" i="5" s="1"/>
  <c r="L55" i="5"/>
  <c r="L92" i="5" s="1"/>
  <c r="P53" i="6"/>
  <c r="P66" i="6"/>
  <c r="M35" i="6"/>
  <c r="M36" i="6" s="1"/>
  <c r="M37" i="6" s="1"/>
  <c r="M38" i="6" s="1"/>
  <c r="L75" i="6"/>
  <c r="L77" i="6" s="1"/>
  <c r="L52" i="6"/>
  <c r="V28" i="6"/>
  <c r="V11" i="6"/>
  <c r="U12" i="6"/>
  <c r="T24" i="6"/>
  <c r="T25" i="6" s="1"/>
  <c r="T62" i="6"/>
  <c r="T13" i="6"/>
  <c r="T14" i="6" s="1"/>
  <c r="S63" i="6"/>
  <c r="S64" i="6"/>
  <c r="S81" i="6"/>
  <c r="U16" i="6"/>
  <c r="U17" i="6" s="1"/>
  <c r="U18" i="6" s="1"/>
  <c r="R50" i="6"/>
  <c r="R73" i="6"/>
  <c r="S15" i="6"/>
  <c r="R22" i="6"/>
  <c r="Q23" i="6"/>
  <c r="Q30" i="6" s="1"/>
  <c r="Q31" i="6"/>
  <c r="W32" i="6" s="1"/>
  <c r="P76" i="6"/>
  <c r="P65" i="6"/>
  <c r="T19" i="6"/>
  <c r="S20" i="6"/>
  <c r="S21" i="6" s="1"/>
  <c r="S51" i="6"/>
  <c r="S26" i="6"/>
  <c r="S26" i="5"/>
  <c r="S15" i="5"/>
  <c r="U16" i="5"/>
  <c r="U17" i="5" s="1"/>
  <c r="U18" i="5" s="1"/>
  <c r="R50" i="5"/>
  <c r="R73" i="5"/>
  <c r="R22" i="5"/>
  <c r="Q23" i="5"/>
  <c r="Q30" i="5" s="1"/>
  <c r="Q31" i="5"/>
  <c r="Q32" i="5" s="1"/>
  <c r="P76" i="5"/>
  <c r="P65" i="5"/>
  <c r="T19" i="5"/>
  <c r="S20" i="5"/>
  <c r="S21" i="5" s="1"/>
  <c r="S51" i="5"/>
  <c r="V11" i="5"/>
  <c r="U12" i="5"/>
  <c r="T13" i="5"/>
  <c r="T14" i="5" s="1"/>
  <c r="T24" i="5"/>
  <c r="T25" i="5" s="1"/>
  <c r="T62" i="5"/>
  <c r="S64" i="5"/>
  <c r="S81" i="5"/>
  <c r="S63" i="5"/>
  <c r="V28" i="5"/>
  <c r="I99" i="5"/>
  <c r="M53" i="5"/>
  <c r="M66" i="5"/>
  <c r="N39" i="5"/>
  <c r="N40" i="5" s="1"/>
  <c r="N41" i="5" s="1"/>
  <c r="N42" i="5" s="1"/>
  <c r="L83" i="5"/>
  <c r="L84" i="5" s="1"/>
  <c r="L93" i="5" s="1"/>
  <c r="L68" i="5"/>
  <c r="L67" i="5"/>
  <c r="K69" i="5"/>
  <c r="K70" i="5" s="1"/>
  <c r="K87" i="5" s="1"/>
  <c r="K88" i="5" s="1"/>
  <c r="J97" i="5"/>
  <c r="J98" i="5" s="1"/>
  <c r="J99" i="6"/>
  <c r="Q41" i="6"/>
  <c r="Q42" i="6" s="1"/>
  <c r="K88" i="6"/>
  <c r="K92" i="6"/>
  <c r="K94" i="6" s="1"/>
  <c r="L95" i="6" s="1"/>
  <c r="K92" i="5"/>
  <c r="K94" i="5" s="1"/>
  <c r="L95" i="5" s="1"/>
  <c r="M75" i="5"/>
  <c r="M77" i="5" s="1"/>
  <c r="M47" i="5"/>
  <c r="L94" i="5" l="1"/>
  <c r="Q66" i="6"/>
  <c r="R39" i="6"/>
  <c r="R40" i="6" s="1"/>
  <c r="R41" i="6" s="1"/>
  <c r="R42" i="6" s="1"/>
  <c r="O69" i="6"/>
  <c r="O70" i="6" s="1"/>
  <c r="M55" i="5"/>
  <c r="M92" i="5" s="1"/>
  <c r="M56" i="5"/>
  <c r="M57" i="5" s="1"/>
  <c r="P83" i="6"/>
  <c r="P84" i="6" s="1"/>
  <c r="P68" i="6"/>
  <c r="P67" i="6"/>
  <c r="L87" i="6"/>
  <c r="L93" i="6"/>
  <c r="L56" i="6"/>
  <c r="L57" i="6" s="1"/>
  <c r="L55" i="6"/>
  <c r="W28" i="6"/>
  <c r="W11" i="6"/>
  <c r="V12" i="6"/>
  <c r="U24" i="6"/>
  <c r="U25" i="6" s="1"/>
  <c r="U62" i="6"/>
  <c r="U13" i="6"/>
  <c r="U14" i="6" s="1"/>
  <c r="T63" i="6"/>
  <c r="T64" i="6"/>
  <c r="T81" i="6"/>
  <c r="V16" i="6"/>
  <c r="V17" i="6" s="1"/>
  <c r="V18" i="6" s="1"/>
  <c r="S50" i="6"/>
  <c r="S73" i="6"/>
  <c r="T15" i="6"/>
  <c r="S22" i="6"/>
  <c r="R23" i="6"/>
  <c r="R30" i="6" s="1"/>
  <c r="R31" i="6"/>
  <c r="X32" i="6" s="1"/>
  <c r="Q76" i="6"/>
  <c r="Q65" i="6"/>
  <c r="U19" i="6"/>
  <c r="T20" i="6"/>
  <c r="T21" i="6" s="1"/>
  <c r="T51" i="6"/>
  <c r="T26" i="6"/>
  <c r="T26" i="5"/>
  <c r="T15" i="5"/>
  <c r="V16" i="5"/>
  <c r="V17" i="5" s="1"/>
  <c r="V18" i="5" s="1"/>
  <c r="S50" i="5"/>
  <c r="S73" i="5"/>
  <c r="S22" i="5"/>
  <c r="R23" i="5"/>
  <c r="R30" i="5" s="1"/>
  <c r="R31" i="5"/>
  <c r="R32" i="5" s="1"/>
  <c r="Q76" i="5"/>
  <c r="Q65" i="5"/>
  <c r="U19" i="5"/>
  <c r="T20" i="5"/>
  <c r="T21" i="5" s="1"/>
  <c r="T51" i="5"/>
  <c r="W11" i="5"/>
  <c r="V12" i="5"/>
  <c r="U13" i="5"/>
  <c r="U14" i="5" s="1"/>
  <c r="U24" i="5"/>
  <c r="U25" i="5" s="1"/>
  <c r="U62" i="5"/>
  <c r="T64" i="5"/>
  <c r="T81" i="5"/>
  <c r="T63" i="5"/>
  <c r="W28" i="5"/>
  <c r="J99" i="5"/>
  <c r="N53" i="5"/>
  <c r="N66" i="5"/>
  <c r="C13" i="2"/>
  <c r="O39" i="5"/>
  <c r="O40" i="5" s="1"/>
  <c r="M83" i="5"/>
  <c r="M84" i="5" s="1"/>
  <c r="M93" i="5" s="1"/>
  <c r="M68" i="5"/>
  <c r="M67" i="5"/>
  <c r="L69" i="5"/>
  <c r="L70" i="5" s="1"/>
  <c r="L87" i="5" s="1"/>
  <c r="L88" i="5" s="1"/>
  <c r="K97" i="6"/>
  <c r="K98" i="6" s="1"/>
  <c r="K97" i="5"/>
  <c r="K98" i="5" s="1"/>
  <c r="N47" i="5"/>
  <c r="C15" i="2" s="1"/>
  <c r="N75" i="5"/>
  <c r="N77" i="5" s="1"/>
  <c r="N52" i="5"/>
  <c r="C12" i="2"/>
  <c r="O35" i="5"/>
  <c r="O36" i="5" s="1"/>
  <c r="Q53" i="6"/>
  <c r="M47" i="6"/>
  <c r="M52" i="6"/>
  <c r="M75" i="6"/>
  <c r="M77" i="6" s="1"/>
  <c r="N35" i="6"/>
  <c r="N36" i="6" s="1"/>
  <c r="Q67" i="6" l="1"/>
  <c r="Q69" i="6" s="1"/>
  <c r="Q68" i="6"/>
  <c r="Q70" i="6" s="1"/>
  <c r="Q83" i="6"/>
  <c r="Q84" i="6" s="1"/>
  <c r="P69" i="6"/>
  <c r="P70" i="6" s="1"/>
  <c r="L92" i="6"/>
  <c r="L94" i="6" s="1"/>
  <c r="L88" i="6"/>
  <c r="X28" i="6"/>
  <c r="X11" i="6"/>
  <c r="W12" i="6"/>
  <c r="V24" i="6"/>
  <c r="V25" i="6" s="1"/>
  <c r="V62" i="6"/>
  <c r="V13" i="6"/>
  <c r="U63" i="6"/>
  <c r="U64" i="6"/>
  <c r="U81" i="6"/>
  <c r="V14" i="6"/>
  <c r="U15" i="6"/>
  <c r="W16" i="6"/>
  <c r="W17" i="6" s="1"/>
  <c r="W18" i="6" s="1"/>
  <c r="T50" i="6"/>
  <c r="T73" i="6"/>
  <c r="S23" i="6"/>
  <c r="S30" i="6" s="1"/>
  <c r="S31" i="6"/>
  <c r="Y32" i="6" s="1"/>
  <c r="T22" i="6"/>
  <c r="R76" i="6"/>
  <c r="R65" i="6"/>
  <c r="V19" i="6"/>
  <c r="U20" i="6"/>
  <c r="U21" i="6" s="1"/>
  <c r="U51" i="6"/>
  <c r="U26" i="6"/>
  <c r="U26" i="5"/>
  <c r="U15" i="5"/>
  <c r="W16" i="5"/>
  <c r="W17" i="5" s="1"/>
  <c r="W18" i="5" s="1"/>
  <c r="T50" i="5"/>
  <c r="T73" i="5"/>
  <c r="T22" i="5"/>
  <c r="S23" i="5"/>
  <c r="S30" i="5" s="1"/>
  <c r="S31" i="5"/>
  <c r="S32" i="5" s="1"/>
  <c r="R76" i="5"/>
  <c r="R65" i="5"/>
  <c r="V19" i="5"/>
  <c r="U20" i="5"/>
  <c r="U21" i="5" s="1"/>
  <c r="U51" i="5"/>
  <c r="W12" i="5"/>
  <c r="X11" i="5"/>
  <c r="V13" i="5"/>
  <c r="V14" i="5" s="1"/>
  <c r="V24" i="5"/>
  <c r="V25" i="5" s="1"/>
  <c r="V62" i="5"/>
  <c r="U64" i="5"/>
  <c r="U81" i="5"/>
  <c r="U63" i="5"/>
  <c r="X28" i="5"/>
  <c r="K99" i="5"/>
  <c r="N83" i="5"/>
  <c r="N84" i="5" s="1"/>
  <c r="N93" i="5" s="1"/>
  <c r="N68" i="5"/>
  <c r="N67" i="5"/>
  <c r="C9" i="2"/>
  <c r="M69" i="5"/>
  <c r="M70" i="5" s="1"/>
  <c r="M87" i="5" s="1"/>
  <c r="M88" i="5" s="1"/>
  <c r="K99" i="6"/>
  <c r="N56" i="5"/>
  <c r="N57" i="5" s="1"/>
  <c r="N55" i="5"/>
  <c r="O37" i="5"/>
  <c r="O38" i="5" s="1"/>
  <c r="S39" i="6"/>
  <c r="S40" i="6" s="1"/>
  <c r="R66" i="6"/>
  <c r="R53" i="6"/>
  <c r="M56" i="6"/>
  <c r="M57" i="6" s="1"/>
  <c r="M55" i="6"/>
  <c r="M93" i="6"/>
  <c r="M87" i="6"/>
  <c r="N37" i="6"/>
  <c r="N38" i="6" s="1"/>
  <c r="M94" i="5"/>
  <c r="O41" i="5"/>
  <c r="O42" i="5" s="1"/>
  <c r="L97" i="5"/>
  <c r="L98" i="5" s="1"/>
  <c r="L97" i="6" l="1"/>
  <c r="L98" i="6" s="1"/>
  <c r="L99" i="6" s="1"/>
  <c r="Y28" i="6"/>
  <c r="Y11" i="6"/>
  <c r="X12" i="6"/>
  <c r="W13" i="6"/>
  <c r="W24" i="6"/>
  <c r="W62" i="6"/>
  <c r="V63" i="6"/>
  <c r="V64" i="6"/>
  <c r="V81" i="6"/>
  <c r="W14" i="6"/>
  <c r="V15" i="6"/>
  <c r="U50" i="6"/>
  <c r="U73" i="6"/>
  <c r="X16" i="6"/>
  <c r="X17" i="6" s="1"/>
  <c r="X18" i="6" s="1"/>
  <c r="S76" i="6"/>
  <c r="S65" i="6"/>
  <c r="T23" i="6"/>
  <c r="T30" i="6" s="1"/>
  <c r="T31" i="6"/>
  <c r="Z32" i="6" s="1"/>
  <c r="U22" i="6"/>
  <c r="W19" i="6"/>
  <c r="V20" i="6"/>
  <c r="V21" i="6" s="1"/>
  <c r="V51" i="6"/>
  <c r="V26" i="6"/>
  <c r="W25" i="6"/>
  <c r="V26" i="5"/>
  <c r="V15" i="5"/>
  <c r="X16" i="5"/>
  <c r="X17" i="5" s="1"/>
  <c r="X18" i="5" s="1"/>
  <c r="U50" i="5"/>
  <c r="U73" i="5"/>
  <c r="U22" i="5"/>
  <c r="T23" i="5"/>
  <c r="T30" i="5" s="1"/>
  <c r="T31" i="5"/>
  <c r="T32" i="5" s="1"/>
  <c r="S76" i="5"/>
  <c r="S65" i="5"/>
  <c r="W19" i="5"/>
  <c r="V20" i="5"/>
  <c r="V21" i="5" s="1"/>
  <c r="V51" i="5"/>
  <c r="W13" i="5"/>
  <c r="W14" i="5" s="1"/>
  <c r="W24" i="5"/>
  <c r="W25" i="5" s="1"/>
  <c r="W62" i="5"/>
  <c r="Y11" i="5"/>
  <c r="X12" i="5"/>
  <c r="V64" i="5"/>
  <c r="V81" i="5"/>
  <c r="V63" i="5"/>
  <c r="Y28" i="5"/>
  <c r="L99" i="5"/>
  <c r="N69" i="5"/>
  <c r="N70" i="5" s="1"/>
  <c r="N87" i="5" s="1"/>
  <c r="N88" i="5" s="1"/>
  <c r="C23" i="2"/>
  <c r="C18" i="3"/>
  <c r="N92" i="5"/>
  <c r="N94" i="5" s="1"/>
  <c r="O95" i="5" s="1"/>
  <c r="O47" i="5"/>
  <c r="O52" i="5"/>
  <c r="O75" i="5"/>
  <c r="O77" i="5" s="1"/>
  <c r="P35" i="5"/>
  <c r="P36" i="5" s="1"/>
  <c r="S41" i="6"/>
  <c r="S42" i="6" s="1"/>
  <c r="R68" i="6"/>
  <c r="R83" i="6"/>
  <c r="R84" i="6" s="1"/>
  <c r="R67" i="6"/>
  <c r="M92" i="6"/>
  <c r="M94" i="6" s="1"/>
  <c r="M88" i="6"/>
  <c r="N47" i="6"/>
  <c r="N52" i="6"/>
  <c r="N75" i="6"/>
  <c r="N77" i="6" s="1"/>
  <c r="O35" i="6"/>
  <c r="O36" i="6" s="1"/>
  <c r="O37" i="6" s="1"/>
  <c r="O38" i="6" s="1"/>
  <c r="P39" i="5"/>
  <c r="P40" i="5" s="1"/>
  <c r="O66" i="5"/>
  <c r="O53" i="5"/>
  <c r="M97" i="5"/>
  <c r="M98" i="5" s="1"/>
  <c r="S53" i="6" l="1"/>
  <c r="S66" i="6"/>
  <c r="T39" i="6"/>
  <c r="T40" i="6" s="1"/>
  <c r="T41" i="6" s="1"/>
  <c r="T42" i="6" s="1"/>
  <c r="Z28" i="6"/>
  <c r="Z11" i="6"/>
  <c r="Y12" i="6"/>
  <c r="X13" i="6"/>
  <c r="X14" i="6" s="1"/>
  <c r="X24" i="6"/>
  <c r="X25" i="6" s="1"/>
  <c r="X62" i="6"/>
  <c r="W63" i="6"/>
  <c r="W64" i="6"/>
  <c r="W81" i="6"/>
  <c r="W15" i="6"/>
  <c r="Y16" i="6"/>
  <c r="Y17" i="6" s="1"/>
  <c r="Y18" i="6" s="1"/>
  <c r="V50" i="6"/>
  <c r="V73" i="6"/>
  <c r="T76" i="6"/>
  <c r="T65" i="6"/>
  <c r="U23" i="6"/>
  <c r="U30" i="6" s="1"/>
  <c r="U31" i="6"/>
  <c r="AA32" i="6" s="1"/>
  <c r="V22" i="6"/>
  <c r="X19" i="6"/>
  <c r="W20" i="6"/>
  <c r="W21" i="6" s="1"/>
  <c r="W51" i="6"/>
  <c r="W26" i="6"/>
  <c r="W26" i="5"/>
  <c r="W15" i="5"/>
  <c r="Y16" i="5"/>
  <c r="Y17" i="5" s="1"/>
  <c r="Y18" i="5" s="1"/>
  <c r="V50" i="5"/>
  <c r="V73" i="5"/>
  <c r="V22" i="5"/>
  <c r="U23" i="5"/>
  <c r="U30" i="5" s="1"/>
  <c r="U31" i="5"/>
  <c r="U32" i="5" s="1"/>
  <c r="T76" i="5"/>
  <c r="T65" i="5"/>
  <c r="X19" i="5"/>
  <c r="W20" i="5"/>
  <c r="W21" i="5" s="1"/>
  <c r="W51" i="5"/>
  <c r="W64" i="5"/>
  <c r="W81" i="5"/>
  <c r="W63" i="5"/>
  <c r="Z11" i="5"/>
  <c r="Y12" i="5"/>
  <c r="X13" i="5"/>
  <c r="X14" i="5" s="1"/>
  <c r="X24" i="5"/>
  <c r="X25" i="5" s="1"/>
  <c r="X62" i="5"/>
  <c r="Z28" i="5"/>
  <c r="M99" i="5"/>
  <c r="N97" i="5"/>
  <c r="N98" i="5" s="1"/>
  <c r="O55" i="5"/>
  <c r="O56" i="5"/>
  <c r="O57" i="5" s="1"/>
  <c r="R69" i="6"/>
  <c r="R70" i="6" s="1"/>
  <c r="M97" i="6"/>
  <c r="M98" i="6" s="1"/>
  <c r="O47" i="6"/>
  <c r="O52" i="6"/>
  <c r="O75" i="6"/>
  <c r="O77" i="6" s="1"/>
  <c r="P35" i="6"/>
  <c r="P36" i="6" s="1"/>
  <c r="N55" i="6"/>
  <c r="N56" i="6"/>
  <c r="N57" i="6" s="1"/>
  <c r="N87" i="6"/>
  <c r="N93" i="6"/>
  <c r="P41" i="5"/>
  <c r="P42" i="5" s="1"/>
  <c r="O83" i="5"/>
  <c r="O84" i="5" s="1"/>
  <c r="O93" i="5" s="1"/>
  <c r="O68" i="5"/>
  <c r="O67" i="5"/>
  <c r="P37" i="5"/>
  <c r="P38" i="5" s="1"/>
  <c r="S68" i="6" l="1"/>
  <c r="S67" i="6"/>
  <c r="S69" i="6" s="1"/>
  <c r="S83" i="6"/>
  <c r="S84" i="6" s="1"/>
  <c r="P53" i="5"/>
  <c r="P66" i="5"/>
  <c r="Q39" i="5"/>
  <c r="Q40" i="5" s="1"/>
  <c r="Q41" i="5" s="1"/>
  <c r="Q42" i="5" s="1"/>
  <c r="Q66" i="5" s="1"/>
  <c r="AA28" i="6"/>
  <c r="AA11" i="6"/>
  <c r="Z12" i="6"/>
  <c r="Y13" i="6"/>
  <c r="Y14" i="6" s="1"/>
  <c r="Y24" i="6"/>
  <c r="Y25" i="6" s="1"/>
  <c r="Y62" i="6"/>
  <c r="X63" i="6"/>
  <c r="X64" i="6"/>
  <c r="X81" i="6"/>
  <c r="Z16" i="6"/>
  <c r="Z17" i="6" s="1"/>
  <c r="Z18" i="6" s="1"/>
  <c r="W50" i="6"/>
  <c r="W73" i="6"/>
  <c r="X15" i="6"/>
  <c r="U76" i="6"/>
  <c r="U65" i="6"/>
  <c r="V23" i="6"/>
  <c r="V30" i="6" s="1"/>
  <c r="V31" i="6"/>
  <c r="AB32" i="6" s="1"/>
  <c r="W22" i="6"/>
  <c r="Y19" i="6"/>
  <c r="X20" i="6"/>
  <c r="X21" i="6" s="1"/>
  <c r="X51" i="6"/>
  <c r="X26" i="6"/>
  <c r="X26" i="5"/>
  <c r="X15" i="5"/>
  <c r="Z16" i="5"/>
  <c r="Z17" i="5" s="1"/>
  <c r="Z18" i="5" s="1"/>
  <c r="W50" i="5"/>
  <c r="W73" i="5"/>
  <c r="W22" i="5"/>
  <c r="V23" i="5"/>
  <c r="V30" i="5" s="1"/>
  <c r="V31" i="5"/>
  <c r="V32" i="5" s="1"/>
  <c r="U76" i="5"/>
  <c r="U65" i="5"/>
  <c r="Y19" i="5"/>
  <c r="X20" i="5"/>
  <c r="X21" i="5" s="1"/>
  <c r="X51" i="5"/>
  <c r="Z12" i="5"/>
  <c r="AA11" i="5"/>
  <c r="Y13" i="5"/>
  <c r="Y14" i="5" s="1"/>
  <c r="Y24" i="5"/>
  <c r="Y25" i="5" s="1"/>
  <c r="Y62" i="5"/>
  <c r="X64" i="5"/>
  <c r="X81" i="5"/>
  <c r="X63" i="5"/>
  <c r="AA28" i="5"/>
  <c r="N99" i="5"/>
  <c r="O92" i="5"/>
  <c r="O94" i="5" s="1"/>
  <c r="M99" i="6"/>
  <c r="O55" i="6"/>
  <c r="O56" i="6"/>
  <c r="O57" i="6" s="1"/>
  <c r="O87" i="6"/>
  <c r="O93" i="6"/>
  <c r="N92" i="6"/>
  <c r="N94" i="6" s="1"/>
  <c r="O95" i="6" s="1"/>
  <c r="N88" i="6"/>
  <c r="O69" i="5"/>
  <c r="O70" i="5" s="1"/>
  <c r="Q35" i="5"/>
  <c r="Q36" i="5" s="1"/>
  <c r="P75" i="5"/>
  <c r="P77" i="5" s="1"/>
  <c r="P52" i="5"/>
  <c r="P47" i="5"/>
  <c r="T53" i="6"/>
  <c r="T66" i="6"/>
  <c r="U39" i="6"/>
  <c r="U40" i="6" s="1"/>
  <c r="P37" i="6"/>
  <c r="P38" i="6" s="1"/>
  <c r="S70" i="6" l="1"/>
  <c r="P83" i="5"/>
  <c r="P84" i="5" s="1"/>
  <c r="P93" i="5" s="1"/>
  <c r="P67" i="5"/>
  <c r="P69" i="5" s="1"/>
  <c r="P68" i="5"/>
  <c r="AB28" i="6"/>
  <c r="AB11" i="6"/>
  <c r="AA12" i="6"/>
  <c r="Z13" i="6"/>
  <c r="Z14" i="6" s="1"/>
  <c r="Z24" i="6"/>
  <c r="Z25" i="6" s="1"/>
  <c r="Z62" i="6"/>
  <c r="Y63" i="6"/>
  <c r="Y64" i="6"/>
  <c r="Y81" i="6"/>
  <c r="AA16" i="6"/>
  <c r="AA17" i="6" s="1"/>
  <c r="AA18" i="6" s="1"/>
  <c r="X50" i="6"/>
  <c r="X73" i="6"/>
  <c r="Y15" i="6"/>
  <c r="V76" i="6"/>
  <c r="V65" i="6"/>
  <c r="W23" i="6"/>
  <c r="W30" i="6" s="1"/>
  <c r="W31" i="6"/>
  <c r="AC32" i="6" s="1"/>
  <c r="X22" i="6"/>
  <c r="Z19" i="6"/>
  <c r="Y20" i="6"/>
  <c r="Y21" i="6" s="1"/>
  <c r="Y51" i="6"/>
  <c r="Y26" i="6"/>
  <c r="Y26" i="5"/>
  <c r="Y15" i="5"/>
  <c r="AA16" i="5"/>
  <c r="AA17" i="5" s="1"/>
  <c r="AA18" i="5" s="1"/>
  <c r="X50" i="5"/>
  <c r="X73" i="5"/>
  <c r="X22" i="5"/>
  <c r="W23" i="5"/>
  <c r="W30" i="5" s="1"/>
  <c r="W31" i="5"/>
  <c r="W32" i="5" s="1"/>
  <c r="V76" i="5"/>
  <c r="V65" i="5"/>
  <c r="Z19" i="5"/>
  <c r="Y20" i="5"/>
  <c r="Y21" i="5" s="1"/>
  <c r="Y51" i="5"/>
  <c r="Z13" i="5"/>
  <c r="Z14" i="5" s="1"/>
  <c r="Z24" i="5"/>
  <c r="Z25" i="5" s="1"/>
  <c r="Z62" i="5"/>
  <c r="AA12" i="5"/>
  <c r="AB11" i="5"/>
  <c r="Y64" i="5"/>
  <c r="Y81" i="5"/>
  <c r="Y63" i="5"/>
  <c r="AB28" i="5"/>
  <c r="C35" i="2"/>
  <c r="C34" i="2"/>
  <c r="O88" i="6"/>
  <c r="O92" i="6"/>
  <c r="O94" i="6" s="1"/>
  <c r="N97" i="6"/>
  <c r="N98" i="6" s="1"/>
  <c r="O87" i="5"/>
  <c r="Q83" i="5"/>
  <c r="Q84" i="5" s="1"/>
  <c r="Q68" i="5"/>
  <c r="Q67" i="5"/>
  <c r="Q37" i="5"/>
  <c r="Q38" i="5" s="1"/>
  <c r="P55" i="5"/>
  <c r="P56" i="5"/>
  <c r="P57" i="5" s="1"/>
  <c r="T67" i="6"/>
  <c r="T68" i="6"/>
  <c r="T83" i="6"/>
  <c r="T84" i="6" s="1"/>
  <c r="U41" i="6"/>
  <c r="U42" i="6" s="1"/>
  <c r="Q35" i="6"/>
  <c r="Q36" i="6" s="1"/>
  <c r="P75" i="6"/>
  <c r="P77" i="6" s="1"/>
  <c r="P52" i="6"/>
  <c r="P47" i="6"/>
  <c r="R39" i="5"/>
  <c r="R40" i="5" s="1"/>
  <c r="Q53" i="5"/>
  <c r="P70" i="5" l="1"/>
  <c r="P87" i="5" s="1"/>
  <c r="Q47" i="5"/>
  <c r="Q52" i="5"/>
  <c r="Q75" i="5"/>
  <c r="Q77" i="5" s="1"/>
  <c r="Q93" i="5" s="1"/>
  <c r="R35" i="5"/>
  <c r="R36" i="5" s="1"/>
  <c r="R37" i="5" s="1"/>
  <c r="R38" i="5" s="1"/>
  <c r="AC28" i="6"/>
  <c r="AC11" i="6"/>
  <c r="AB12" i="6"/>
  <c r="AA13" i="6"/>
  <c r="AA14" i="6" s="1"/>
  <c r="AA24" i="6"/>
  <c r="AA25" i="6" s="1"/>
  <c r="AA62" i="6"/>
  <c r="Z63" i="6"/>
  <c r="Z64" i="6"/>
  <c r="Z81" i="6"/>
  <c r="Z15" i="6"/>
  <c r="AB16" i="6"/>
  <c r="AB17" i="6" s="1"/>
  <c r="AB18" i="6" s="1"/>
  <c r="Y50" i="6"/>
  <c r="Y73" i="6"/>
  <c r="W76" i="6"/>
  <c r="W65" i="6"/>
  <c r="X23" i="6"/>
  <c r="X30" i="6" s="1"/>
  <c r="X31" i="6"/>
  <c r="AD32" i="6" s="1"/>
  <c r="Y22" i="6"/>
  <c r="AA19" i="6"/>
  <c r="Z20" i="6"/>
  <c r="Z21" i="6" s="1"/>
  <c r="Z51" i="6"/>
  <c r="Z26" i="6"/>
  <c r="Z26" i="5"/>
  <c r="Z15" i="5"/>
  <c r="AB16" i="5"/>
  <c r="AB17" i="5" s="1"/>
  <c r="AB18" i="5" s="1"/>
  <c r="Y50" i="5"/>
  <c r="Y73" i="5"/>
  <c r="Y22" i="5"/>
  <c r="X23" i="5"/>
  <c r="X30" i="5" s="1"/>
  <c r="X31" i="5"/>
  <c r="X32" i="5" s="1"/>
  <c r="W76" i="5"/>
  <c r="W65" i="5"/>
  <c r="AA19" i="5"/>
  <c r="Z20" i="5"/>
  <c r="Z21" i="5" s="1"/>
  <c r="Z51" i="5"/>
  <c r="Z64" i="5"/>
  <c r="Z81" i="5"/>
  <c r="Z63" i="5"/>
  <c r="D8" i="2"/>
  <c r="AA13" i="5"/>
  <c r="AA14" i="5" s="1"/>
  <c r="AA24" i="5"/>
  <c r="AA25" i="5" s="1"/>
  <c r="AA62" i="5"/>
  <c r="AB12" i="5"/>
  <c r="AC11" i="5"/>
  <c r="AC28" i="5"/>
  <c r="O97" i="6"/>
  <c r="O98" i="6" s="1"/>
  <c r="N99" i="6"/>
  <c r="O88" i="5"/>
  <c r="Q69" i="5"/>
  <c r="Q70" i="5" s="1"/>
  <c r="P92" i="5"/>
  <c r="P94" i="5" s="1"/>
  <c r="T69" i="6"/>
  <c r="T70" i="6" s="1"/>
  <c r="U53" i="6"/>
  <c r="U66" i="6"/>
  <c r="V39" i="6"/>
  <c r="V40" i="6" s="1"/>
  <c r="V41" i="6" s="1"/>
  <c r="V42" i="6" s="1"/>
  <c r="Q37" i="6"/>
  <c r="Q38" i="6" s="1"/>
  <c r="P87" i="6"/>
  <c r="P93" i="6"/>
  <c r="P55" i="6"/>
  <c r="P56" i="6"/>
  <c r="P57" i="6" s="1"/>
  <c r="R41" i="5"/>
  <c r="R42" i="5" s="1"/>
  <c r="Q56" i="5" l="1"/>
  <c r="Q57" i="5" s="1"/>
  <c r="Q55" i="5"/>
  <c r="Q92" i="5" s="1"/>
  <c r="Q94" i="5" s="1"/>
  <c r="R95" i="5" s="1"/>
  <c r="Q87" i="5"/>
  <c r="R75" i="5"/>
  <c r="R77" i="5" s="1"/>
  <c r="R52" i="5"/>
  <c r="R47" i="5"/>
  <c r="S35" i="5"/>
  <c r="S36" i="5" s="1"/>
  <c r="S37" i="5" s="1"/>
  <c r="S38" i="5" s="1"/>
  <c r="R35" i="6"/>
  <c r="R36" i="6" s="1"/>
  <c r="R37" i="6" s="1"/>
  <c r="R38" i="6" s="1"/>
  <c r="Q47" i="6"/>
  <c r="Q52" i="6"/>
  <c r="Q75" i="6"/>
  <c r="Q77" i="6" s="1"/>
  <c r="R53" i="5"/>
  <c r="S39" i="5"/>
  <c r="S40" i="5" s="1"/>
  <c r="S41" i="5" s="1"/>
  <c r="S42" i="5" s="1"/>
  <c r="R66" i="5"/>
  <c r="AD28" i="6"/>
  <c r="AD11" i="6"/>
  <c r="AC12" i="6"/>
  <c r="AB13" i="6"/>
  <c r="AB14" i="6" s="1"/>
  <c r="AB24" i="6"/>
  <c r="AB25" i="6" s="1"/>
  <c r="AB62" i="6"/>
  <c r="AA63" i="6"/>
  <c r="AA64" i="6"/>
  <c r="AA81" i="6"/>
  <c r="AA15" i="6"/>
  <c r="AC16" i="6"/>
  <c r="AC17" i="6" s="1"/>
  <c r="AC18" i="6" s="1"/>
  <c r="Z50" i="6"/>
  <c r="Z73" i="6"/>
  <c r="X76" i="6"/>
  <c r="X65" i="6"/>
  <c r="Y23" i="6"/>
  <c r="Y30" i="6" s="1"/>
  <c r="Y31" i="6"/>
  <c r="AE32" i="6" s="1"/>
  <c r="Z22" i="6"/>
  <c r="AB19" i="6"/>
  <c r="AA20" i="6"/>
  <c r="AA21" i="6" s="1"/>
  <c r="AA51" i="6"/>
  <c r="AA26" i="6"/>
  <c r="AB25" i="5"/>
  <c r="AA26" i="5"/>
  <c r="AA15" i="5"/>
  <c r="AC16" i="5"/>
  <c r="AC17" i="5" s="1"/>
  <c r="AC18" i="5" s="1"/>
  <c r="Z50" i="5"/>
  <c r="Z73" i="5"/>
  <c r="Z22" i="5"/>
  <c r="Y23" i="5"/>
  <c r="Y30" i="5" s="1"/>
  <c r="Y31" i="5"/>
  <c r="Y32" i="5" s="1"/>
  <c r="X76" i="5"/>
  <c r="X65" i="5"/>
  <c r="AB19" i="5"/>
  <c r="AA20" i="5"/>
  <c r="AA21" i="5" s="1"/>
  <c r="AA51" i="5"/>
  <c r="AA64" i="5"/>
  <c r="AA81" i="5"/>
  <c r="AA63" i="5"/>
  <c r="AB13" i="5"/>
  <c r="AB14" i="5" s="1"/>
  <c r="AB24" i="5"/>
  <c r="AB62" i="5"/>
  <c r="AC12" i="5"/>
  <c r="AD11" i="5"/>
  <c r="AD28" i="5"/>
  <c r="O99" i="6"/>
  <c r="O97" i="5"/>
  <c r="O98" i="5" s="1"/>
  <c r="V53" i="6"/>
  <c r="V66" i="6"/>
  <c r="W39" i="6"/>
  <c r="W40" i="6" s="1"/>
  <c r="W41" i="6" s="1"/>
  <c r="W42" i="6" s="1"/>
  <c r="U83" i="6"/>
  <c r="U84" i="6" s="1"/>
  <c r="U68" i="6"/>
  <c r="U67" i="6"/>
  <c r="P88" i="6"/>
  <c r="P92" i="6"/>
  <c r="P94" i="6" s="1"/>
  <c r="P88" i="5"/>
  <c r="Q88" i="5" l="1"/>
  <c r="Q97" i="5" s="1"/>
  <c r="R55" i="5"/>
  <c r="R92" i="5" s="1"/>
  <c r="R56" i="5"/>
  <c r="R57" i="5" s="1"/>
  <c r="Q55" i="6"/>
  <c r="Q92" i="6" s="1"/>
  <c r="Q56" i="6"/>
  <c r="Q57" i="6" s="1"/>
  <c r="Q87" i="6"/>
  <c r="Q93" i="6"/>
  <c r="R83" i="5"/>
  <c r="R84" i="5" s="1"/>
  <c r="R93" i="5" s="1"/>
  <c r="R68" i="5"/>
  <c r="R67" i="5"/>
  <c r="R69" i="5" s="1"/>
  <c r="T35" i="5"/>
  <c r="T36" i="5" s="1"/>
  <c r="T37" i="5" s="1"/>
  <c r="T38" i="5" s="1"/>
  <c r="S52" i="5"/>
  <c r="T39" i="5"/>
  <c r="T40" i="5" s="1"/>
  <c r="T41" i="5" s="1"/>
  <c r="T42" i="5" s="1"/>
  <c r="S75" i="5"/>
  <c r="S77" i="5" s="1"/>
  <c r="S66" i="5"/>
  <c r="S47" i="5"/>
  <c r="S53" i="5"/>
  <c r="AE28" i="6"/>
  <c r="AE11" i="6"/>
  <c r="AD12" i="6"/>
  <c r="AC13" i="6"/>
  <c r="AC24" i="6"/>
  <c r="AC62" i="6"/>
  <c r="AB63" i="6"/>
  <c r="AB64" i="6"/>
  <c r="AB81" i="6"/>
  <c r="AB15" i="6"/>
  <c r="AC14" i="6"/>
  <c r="AD16" i="6"/>
  <c r="AD17" i="6" s="1"/>
  <c r="AD18" i="6" s="1"/>
  <c r="AA50" i="6"/>
  <c r="AA73" i="6"/>
  <c r="Y76" i="6"/>
  <c r="Y65" i="6"/>
  <c r="Z23" i="6"/>
  <c r="Z30" i="6" s="1"/>
  <c r="Z31" i="6"/>
  <c r="AF32" i="6" s="1"/>
  <c r="AA22" i="6"/>
  <c r="AC19" i="6"/>
  <c r="AB20" i="6"/>
  <c r="AB21" i="6" s="1"/>
  <c r="AB51" i="6"/>
  <c r="AB26" i="6"/>
  <c r="AC25" i="6"/>
  <c r="AB26" i="5"/>
  <c r="AB15" i="5"/>
  <c r="AD16" i="5"/>
  <c r="AD17" i="5" s="1"/>
  <c r="AD18" i="5" s="1"/>
  <c r="AA50" i="5"/>
  <c r="AA73" i="5"/>
  <c r="AA22" i="5"/>
  <c r="Z23" i="5"/>
  <c r="Z30" i="5" s="1"/>
  <c r="Z31" i="5"/>
  <c r="Z32" i="5" s="1"/>
  <c r="Y76" i="5"/>
  <c r="Y65" i="5"/>
  <c r="AC19" i="5"/>
  <c r="AB20" i="5"/>
  <c r="AB21" i="5" s="1"/>
  <c r="AB51" i="5"/>
  <c r="AB64" i="5"/>
  <c r="AB81" i="5"/>
  <c r="AB63" i="5"/>
  <c r="AC13" i="5"/>
  <c r="AC14" i="5" s="1"/>
  <c r="AC24" i="5"/>
  <c r="AC25" i="5" s="1"/>
  <c r="AC62" i="5"/>
  <c r="AD12" i="5"/>
  <c r="AE11" i="5"/>
  <c r="AE28" i="5"/>
  <c r="O99" i="5"/>
  <c r="W53" i="6"/>
  <c r="W66" i="6"/>
  <c r="X39" i="6"/>
  <c r="X40" i="6" s="1"/>
  <c r="V68" i="6"/>
  <c r="V83" i="6"/>
  <c r="V84" i="6" s="1"/>
  <c r="V67" i="6"/>
  <c r="U69" i="6"/>
  <c r="U70" i="6" s="1"/>
  <c r="P97" i="6"/>
  <c r="P98" i="6" s="1"/>
  <c r="P97" i="5"/>
  <c r="P98" i="5" s="1"/>
  <c r="R47" i="6"/>
  <c r="R52" i="6"/>
  <c r="R75" i="6"/>
  <c r="R77" i="6" s="1"/>
  <c r="S35" i="6"/>
  <c r="S36" i="6" s="1"/>
  <c r="Q88" i="6" l="1"/>
  <c r="Q97" i="6" s="1"/>
  <c r="Q98" i="6" s="1"/>
  <c r="S67" i="5"/>
  <c r="S69" i="5" s="1"/>
  <c r="S83" i="5"/>
  <c r="S84" i="5" s="1"/>
  <c r="S93" i="5" s="1"/>
  <c r="S68" i="5"/>
  <c r="R70" i="5"/>
  <c r="R87" i="5" s="1"/>
  <c r="R94" i="5"/>
  <c r="Q94" i="6"/>
  <c r="R95" i="6" s="1"/>
  <c r="S55" i="5"/>
  <c r="S92" i="5" s="1"/>
  <c r="S56" i="5"/>
  <c r="S57" i="5" s="1"/>
  <c r="C25" i="3" s="1"/>
  <c r="D25" i="3" s="1"/>
  <c r="U39" i="5"/>
  <c r="U40" i="5" s="1"/>
  <c r="U41" i="5" s="1"/>
  <c r="U42" i="5" s="1"/>
  <c r="T66" i="5"/>
  <c r="T53" i="5"/>
  <c r="T52" i="5"/>
  <c r="U35" i="5"/>
  <c r="U36" i="5" s="1"/>
  <c r="U37" i="5" s="1"/>
  <c r="U38" i="5" s="1"/>
  <c r="AF28" i="6"/>
  <c r="AF11" i="6"/>
  <c r="AE12" i="6"/>
  <c r="AD13" i="6"/>
  <c r="AD14" i="6" s="1"/>
  <c r="AD24" i="6"/>
  <c r="AD62" i="6"/>
  <c r="AC63" i="6"/>
  <c r="AC64" i="6"/>
  <c r="AC81" i="6"/>
  <c r="AE16" i="6"/>
  <c r="AE17" i="6" s="1"/>
  <c r="AE18" i="6" s="1"/>
  <c r="AB50" i="6"/>
  <c r="AB73" i="6"/>
  <c r="AC15" i="6"/>
  <c r="Z76" i="6"/>
  <c r="Z65" i="6"/>
  <c r="AA23" i="6"/>
  <c r="AA30" i="6" s="1"/>
  <c r="AA31" i="6"/>
  <c r="AG32" i="6" s="1"/>
  <c r="AB22" i="6"/>
  <c r="AD19" i="6"/>
  <c r="AC20" i="6"/>
  <c r="AC21" i="6" s="1"/>
  <c r="AC51" i="6"/>
  <c r="AC26" i="6"/>
  <c r="AD25" i="6"/>
  <c r="AC26" i="5"/>
  <c r="AC15" i="5"/>
  <c r="AE16" i="5"/>
  <c r="AE17" i="5" s="1"/>
  <c r="AE18" i="5" s="1"/>
  <c r="AB50" i="5"/>
  <c r="AB73" i="5"/>
  <c r="AB22" i="5"/>
  <c r="AA23" i="5"/>
  <c r="AA30" i="5" s="1"/>
  <c r="AA31" i="5"/>
  <c r="AA32" i="5" s="1"/>
  <c r="Z76" i="5"/>
  <c r="Z65" i="5"/>
  <c r="AD19" i="5"/>
  <c r="AC20" i="5"/>
  <c r="AC21" i="5" s="1"/>
  <c r="AC51" i="5"/>
  <c r="AC64" i="5"/>
  <c r="AC81" i="5"/>
  <c r="AC63" i="5"/>
  <c r="AD24" i="5"/>
  <c r="AD25" i="5" s="1"/>
  <c r="AD62" i="5"/>
  <c r="AD13" i="5"/>
  <c r="AD14" i="5" s="1"/>
  <c r="AE12" i="5"/>
  <c r="AF11" i="5"/>
  <c r="AF28" i="5"/>
  <c r="Q98" i="5"/>
  <c r="P99" i="5"/>
  <c r="W68" i="6"/>
  <c r="W83" i="6"/>
  <c r="W84" i="6" s="1"/>
  <c r="W67" i="6"/>
  <c r="V69" i="6"/>
  <c r="V70" i="6" s="1"/>
  <c r="P99" i="6"/>
  <c r="R56" i="6"/>
  <c r="R57" i="6" s="1"/>
  <c r="R55" i="6"/>
  <c r="R93" i="6"/>
  <c r="R87" i="6"/>
  <c r="S37" i="6"/>
  <c r="S38" i="6" s="1"/>
  <c r="X41" i="6"/>
  <c r="X42" i="6" s="1"/>
  <c r="T47" i="5"/>
  <c r="T75" i="5"/>
  <c r="T77" i="5" s="1"/>
  <c r="S94" i="5" l="1"/>
  <c r="S70" i="5"/>
  <c r="S87" i="5" s="1"/>
  <c r="S88" i="5" s="1"/>
  <c r="T83" i="5"/>
  <c r="T84" i="5" s="1"/>
  <c r="T93" i="5" s="1"/>
  <c r="T68" i="5"/>
  <c r="T67" i="5"/>
  <c r="T69" i="5" s="1"/>
  <c r="T56" i="5"/>
  <c r="T57" i="5" s="1"/>
  <c r="T55" i="5"/>
  <c r="T92" i="5" s="1"/>
  <c r="AG28" i="6"/>
  <c r="AG11" i="6"/>
  <c r="AF12" i="6"/>
  <c r="AE13" i="6"/>
  <c r="AE14" i="6" s="1"/>
  <c r="AE24" i="6"/>
  <c r="AE25" i="6" s="1"/>
  <c r="AE62" i="6"/>
  <c r="AD63" i="6"/>
  <c r="AD64" i="6"/>
  <c r="AD81" i="6"/>
  <c r="AD15" i="6"/>
  <c r="AF16" i="6"/>
  <c r="AF17" i="6" s="1"/>
  <c r="AF18" i="6" s="1"/>
  <c r="AC50" i="6"/>
  <c r="AC73" i="6"/>
  <c r="AA76" i="6"/>
  <c r="AA65" i="6"/>
  <c r="AB23" i="6"/>
  <c r="AB30" i="6" s="1"/>
  <c r="AB31" i="6"/>
  <c r="AH32" i="6" s="1"/>
  <c r="AC22" i="6"/>
  <c r="AE19" i="6"/>
  <c r="AD20" i="6"/>
  <c r="AD21" i="6" s="1"/>
  <c r="AD51" i="6"/>
  <c r="AD26" i="6"/>
  <c r="AD26" i="5"/>
  <c r="AD15" i="5"/>
  <c r="AF16" i="5"/>
  <c r="AF17" i="5" s="1"/>
  <c r="AF18" i="5" s="1"/>
  <c r="AC50" i="5"/>
  <c r="AC73" i="5"/>
  <c r="AC22" i="5"/>
  <c r="AB23" i="5"/>
  <c r="AB30" i="5" s="1"/>
  <c r="AB31" i="5"/>
  <c r="AB32" i="5" s="1"/>
  <c r="AA76" i="5"/>
  <c r="AA65" i="5"/>
  <c r="AE19" i="5"/>
  <c r="AD20" i="5"/>
  <c r="AD21" i="5" s="1"/>
  <c r="AD51" i="5"/>
  <c r="AD64" i="5"/>
  <c r="AD81" i="5"/>
  <c r="AD63" i="5"/>
  <c r="AE13" i="5"/>
  <c r="AE14" i="5" s="1"/>
  <c r="AE24" i="5"/>
  <c r="AE25" i="5" s="1"/>
  <c r="AE62" i="5"/>
  <c r="AF12" i="5"/>
  <c r="AG11" i="5"/>
  <c r="AG28" i="5"/>
  <c r="Q99" i="5"/>
  <c r="W69" i="6"/>
  <c r="W70" i="6" s="1"/>
  <c r="Q99" i="6"/>
  <c r="R88" i="5"/>
  <c r="R92" i="6"/>
  <c r="R94" i="6" s="1"/>
  <c r="R88" i="6"/>
  <c r="S47" i="6"/>
  <c r="S52" i="6"/>
  <c r="S75" i="6"/>
  <c r="S77" i="6" s="1"/>
  <c r="T35" i="6"/>
  <c r="T36" i="6" s="1"/>
  <c r="Y39" i="6"/>
  <c r="Y40" i="6" s="1"/>
  <c r="X66" i="6"/>
  <c r="X53" i="6"/>
  <c r="U47" i="5"/>
  <c r="U52" i="5"/>
  <c r="U75" i="5"/>
  <c r="U77" i="5" s="1"/>
  <c r="V35" i="5"/>
  <c r="V36" i="5" s="1"/>
  <c r="V39" i="5"/>
  <c r="V40" i="5" s="1"/>
  <c r="U53" i="5"/>
  <c r="U66" i="5"/>
  <c r="T70" i="5" l="1"/>
  <c r="T87" i="5" s="1"/>
  <c r="T88" i="5" s="1"/>
  <c r="T97" i="5" s="1"/>
  <c r="T94" i="5"/>
  <c r="U95" i="5" s="1"/>
  <c r="AH28" i="6"/>
  <c r="AH11" i="6"/>
  <c r="AG12" i="6"/>
  <c r="AF13" i="6"/>
  <c r="AF24" i="6"/>
  <c r="AF62" i="6"/>
  <c r="AE63" i="6"/>
  <c r="AE64" i="6"/>
  <c r="AE81" i="6"/>
  <c r="AF14" i="6"/>
  <c r="AE15" i="6"/>
  <c r="AG16" i="6"/>
  <c r="AG17" i="6" s="1"/>
  <c r="AG18" i="6" s="1"/>
  <c r="AD50" i="6"/>
  <c r="AD73" i="6"/>
  <c r="AB76" i="6"/>
  <c r="AB65" i="6"/>
  <c r="AC23" i="6"/>
  <c r="AC30" i="6" s="1"/>
  <c r="AC31" i="6"/>
  <c r="AI32" i="6" s="1"/>
  <c r="AD22" i="6"/>
  <c r="AF19" i="6"/>
  <c r="AE20" i="6"/>
  <c r="AE21" i="6" s="1"/>
  <c r="AE51" i="6"/>
  <c r="AE26" i="6"/>
  <c r="AF25" i="6"/>
  <c r="AE26" i="5"/>
  <c r="AE15" i="5"/>
  <c r="AG16" i="5"/>
  <c r="AG17" i="5" s="1"/>
  <c r="AG18" i="5" s="1"/>
  <c r="AD50" i="5"/>
  <c r="AD73" i="5"/>
  <c r="AD22" i="5"/>
  <c r="AC23" i="5"/>
  <c r="AC30" i="5" s="1"/>
  <c r="AC31" i="5"/>
  <c r="AC32" i="5" s="1"/>
  <c r="AB76" i="5"/>
  <c r="AB65" i="5"/>
  <c r="AF19" i="5"/>
  <c r="AE20" i="5"/>
  <c r="AE21" i="5" s="1"/>
  <c r="AE51" i="5"/>
  <c r="AE64" i="5"/>
  <c r="AE81" i="5"/>
  <c r="AE63" i="5"/>
  <c r="AF24" i="5"/>
  <c r="AF25" i="5" s="1"/>
  <c r="AF62" i="5"/>
  <c r="AF13" i="5"/>
  <c r="AF14" i="5" s="1"/>
  <c r="AH11" i="5"/>
  <c r="AG12" i="5"/>
  <c r="AH28" i="5"/>
  <c r="R97" i="5"/>
  <c r="R98" i="5" s="1"/>
  <c r="R97" i="6"/>
  <c r="R98" i="6" s="1"/>
  <c r="S55" i="6"/>
  <c r="S56" i="6"/>
  <c r="S57" i="6" s="1"/>
  <c r="S87" i="6"/>
  <c r="S93" i="6"/>
  <c r="Y41" i="6"/>
  <c r="Y42" i="6" s="1"/>
  <c r="X68" i="6"/>
  <c r="X83" i="6"/>
  <c r="X84" i="6" s="1"/>
  <c r="X67" i="6"/>
  <c r="U56" i="5"/>
  <c r="U57" i="5" s="1"/>
  <c r="U55" i="5"/>
  <c r="V37" i="5"/>
  <c r="V38" i="5" s="1"/>
  <c r="V41" i="5"/>
  <c r="V42" i="5" s="1"/>
  <c r="W39" i="5" s="1"/>
  <c r="W40" i="5" s="1"/>
  <c r="U67" i="5"/>
  <c r="U68" i="5"/>
  <c r="U83" i="5"/>
  <c r="U84" i="5" s="1"/>
  <c r="U93" i="5" s="1"/>
  <c r="S97" i="5"/>
  <c r="T37" i="6"/>
  <c r="T38" i="6" s="1"/>
  <c r="Y53" i="6" l="1"/>
  <c r="Y66" i="6"/>
  <c r="Y68" i="6" s="1"/>
  <c r="Z39" i="6"/>
  <c r="Z40" i="6" s="1"/>
  <c r="Z41" i="6" s="1"/>
  <c r="Z42" i="6" s="1"/>
  <c r="AA39" i="6" s="1"/>
  <c r="AA40" i="6" s="1"/>
  <c r="AI28" i="6"/>
  <c r="AI11" i="6"/>
  <c r="AH12" i="6"/>
  <c r="AG13" i="6"/>
  <c r="AG14" i="6" s="1"/>
  <c r="AG24" i="6"/>
  <c r="AG62" i="6"/>
  <c r="AF63" i="6"/>
  <c r="AF64" i="6"/>
  <c r="AF81" i="6"/>
  <c r="AF15" i="6"/>
  <c r="AH16" i="6"/>
  <c r="AH17" i="6" s="1"/>
  <c r="AH18" i="6" s="1"/>
  <c r="AE50" i="6"/>
  <c r="AE73" i="6"/>
  <c r="AC76" i="6"/>
  <c r="AC65" i="6"/>
  <c r="AD23" i="6"/>
  <c r="AD30" i="6" s="1"/>
  <c r="AD31" i="6"/>
  <c r="AJ32" i="6" s="1"/>
  <c r="AE22" i="6"/>
  <c r="AG19" i="6"/>
  <c r="AF20" i="6"/>
  <c r="AF21" i="6" s="1"/>
  <c r="AF51" i="6"/>
  <c r="AF26" i="6"/>
  <c r="AG25" i="6"/>
  <c r="AF26" i="5"/>
  <c r="AF15" i="5"/>
  <c r="AH16" i="5"/>
  <c r="AH17" i="5" s="1"/>
  <c r="AH18" i="5" s="1"/>
  <c r="AE50" i="5"/>
  <c r="AE73" i="5"/>
  <c r="AE22" i="5"/>
  <c r="AD23" i="5"/>
  <c r="AD30" i="5" s="1"/>
  <c r="AD31" i="5"/>
  <c r="AD32" i="5" s="1"/>
  <c r="AC76" i="5"/>
  <c r="AC65" i="5"/>
  <c r="AG19" i="5"/>
  <c r="AF20" i="5"/>
  <c r="AF21" i="5" s="1"/>
  <c r="AF51" i="5"/>
  <c r="AF64" i="5"/>
  <c r="AF81" i="5"/>
  <c r="AF63" i="5"/>
  <c r="AI11" i="5"/>
  <c r="AH12" i="5"/>
  <c r="AG13" i="5"/>
  <c r="AG14" i="5" s="1"/>
  <c r="AG24" i="5"/>
  <c r="AG25" i="5" s="1"/>
  <c r="AG62" i="5"/>
  <c r="AI28" i="5"/>
  <c r="R99" i="5"/>
  <c r="S98" i="5"/>
  <c r="R99" i="6"/>
  <c r="S88" i="6"/>
  <c r="S92" i="6"/>
  <c r="S94" i="6" s="1"/>
  <c r="X69" i="6"/>
  <c r="X70" i="6" s="1"/>
  <c r="U92" i="5"/>
  <c r="U94" i="5" s="1"/>
  <c r="V47" i="5"/>
  <c r="V52" i="5"/>
  <c r="V75" i="5"/>
  <c r="V77" i="5" s="1"/>
  <c r="W35" i="5"/>
  <c r="W36" i="5" s="1"/>
  <c r="W37" i="5" s="1"/>
  <c r="W38" i="5" s="1"/>
  <c r="W41" i="5"/>
  <c r="W42" i="5" s="1"/>
  <c r="U69" i="5"/>
  <c r="U70" i="5" s="1"/>
  <c r="U87" i="5" s="1"/>
  <c r="U88" i="5" s="1"/>
  <c r="U35" i="6"/>
  <c r="U36" i="6" s="1"/>
  <c r="T75" i="6"/>
  <c r="T77" i="6" s="1"/>
  <c r="T52" i="6"/>
  <c r="T47" i="6"/>
  <c r="V66" i="5"/>
  <c r="V53" i="5"/>
  <c r="Y83" i="6" l="1"/>
  <c r="Y84" i="6" s="1"/>
  <c r="Y67" i="6"/>
  <c r="AJ28" i="6"/>
  <c r="AJ11" i="6"/>
  <c r="AI12" i="6"/>
  <c r="AH13" i="6"/>
  <c r="AH24" i="6"/>
  <c r="AH62" i="6"/>
  <c r="AG63" i="6"/>
  <c r="AG64" i="6"/>
  <c r="AG81" i="6"/>
  <c r="AG15" i="6"/>
  <c r="AH14" i="6"/>
  <c r="AI16" i="6"/>
  <c r="AI17" i="6" s="1"/>
  <c r="AI18" i="6" s="1"/>
  <c r="AF50" i="6"/>
  <c r="AF73" i="6"/>
  <c r="AD76" i="6"/>
  <c r="AD65" i="6"/>
  <c r="AE23" i="6"/>
  <c r="AE30" i="6" s="1"/>
  <c r="AE31" i="6"/>
  <c r="AK32" i="6" s="1"/>
  <c r="AF22" i="6"/>
  <c r="AH19" i="6"/>
  <c r="AG20" i="6"/>
  <c r="AG21" i="6" s="1"/>
  <c r="AG51" i="6"/>
  <c r="AG26" i="6"/>
  <c r="AH25" i="6"/>
  <c r="AG26" i="5"/>
  <c r="AG15" i="5"/>
  <c r="AI16" i="5"/>
  <c r="AI17" i="5" s="1"/>
  <c r="AI18" i="5" s="1"/>
  <c r="AF50" i="5"/>
  <c r="AF73" i="5"/>
  <c r="AF22" i="5"/>
  <c r="AE23" i="5"/>
  <c r="AE30" i="5" s="1"/>
  <c r="AE31" i="5"/>
  <c r="AE32" i="5" s="1"/>
  <c r="AD76" i="5"/>
  <c r="AD65" i="5"/>
  <c r="AH19" i="5"/>
  <c r="AG20" i="5"/>
  <c r="AG21" i="5" s="1"/>
  <c r="AG51" i="5"/>
  <c r="AJ11" i="5"/>
  <c r="AI12" i="5"/>
  <c r="AH13" i="5"/>
  <c r="AH14" i="5" s="1"/>
  <c r="AH24" i="5"/>
  <c r="AH25" i="5" s="1"/>
  <c r="AH62" i="5"/>
  <c r="AG64" i="5"/>
  <c r="AG81" i="5"/>
  <c r="AG63" i="5"/>
  <c r="AJ28" i="5"/>
  <c r="T98" i="5"/>
  <c r="S99" i="5"/>
  <c r="S97" i="6"/>
  <c r="S98" i="6" s="1"/>
  <c r="AA41" i="6"/>
  <c r="AA42" i="6" s="1"/>
  <c r="U97" i="5"/>
  <c r="W47" i="5"/>
  <c r="W52" i="5"/>
  <c r="W75" i="5"/>
  <c r="W77" i="5" s="1"/>
  <c r="X35" i="5"/>
  <c r="X36" i="5" s="1"/>
  <c r="X37" i="5" s="1"/>
  <c r="X38" i="5" s="1"/>
  <c r="V55" i="5"/>
  <c r="V56" i="5"/>
  <c r="V57" i="5" s="1"/>
  <c r="U37" i="6"/>
  <c r="U38" i="6" s="1"/>
  <c r="T87" i="6"/>
  <c r="T93" i="6"/>
  <c r="T55" i="6"/>
  <c r="T56" i="6"/>
  <c r="T57" i="6" s="1"/>
  <c r="V67" i="5"/>
  <c r="V68" i="5"/>
  <c r="V83" i="5"/>
  <c r="V84" i="5" s="1"/>
  <c r="V93" i="5" s="1"/>
  <c r="X39" i="5"/>
  <c r="X40" i="5" s="1"/>
  <c r="W66" i="5"/>
  <c r="W53" i="5"/>
  <c r="Z53" i="6"/>
  <c r="Z66" i="6"/>
  <c r="U47" i="6" l="1"/>
  <c r="U52" i="6"/>
  <c r="U75" i="6"/>
  <c r="U77" i="6" s="1"/>
  <c r="V35" i="6"/>
  <c r="V36" i="6" s="1"/>
  <c r="V37" i="6" s="1"/>
  <c r="V38" i="6" s="1"/>
  <c r="Y69" i="6"/>
  <c r="Y70" i="6" s="1"/>
  <c r="AK28" i="6"/>
  <c r="AK11" i="6"/>
  <c r="AJ12" i="6"/>
  <c r="AI13" i="6"/>
  <c r="AI14" i="6" s="1"/>
  <c r="AI24" i="6"/>
  <c r="AI25" i="6" s="1"/>
  <c r="AI62" i="6"/>
  <c r="AH63" i="6"/>
  <c r="AH64" i="6"/>
  <c r="AH81" i="6"/>
  <c r="AJ16" i="6"/>
  <c r="AJ17" i="6" s="1"/>
  <c r="AJ18" i="6" s="1"/>
  <c r="AG50" i="6"/>
  <c r="AG73" i="6"/>
  <c r="AH15" i="6"/>
  <c r="AE76" i="6"/>
  <c r="AE65" i="6"/>
  <c r="AF23" i="6"/>
  <c r="AF30" i="6" s="1"/>
  <c r="AF31" i="6"/>
  <c r="AL32" i="6" s="1"/>
  <c r="AG22" i="6"/>
  <c r="AI19" i="6"/>
  <c r="AH20" i="6"/>
  <c r="AH21" i="6" s="1"/>
  <c r="AH51" i="6"/>
  <c r="AH26" i="6"/>
  <c r="AH26" i="5"/>
  <c r="AH15" i="5"/>
  <c r="AJ16" i="5"/>
  <c r="AJ17" i="5" s="1"/>
  <c r="AJ18" i="5" s="1"/>
  <c r="AG50" i="5"/>
  <c r="AG73" i="5"/>
  <c r="AG22" i="5"/>
  <c r="AF23" i="5"/>
  <c r="AF30" i="5" s="1"/>
  <c r="AF31" i="5"/>
  <c r="AF32" i="5" s="1"/>
  <c r="AE76" i="5"/>
  <c r="AE65" i="5"/>
  <c r="AI19" i="5"/>
  <c r="AH20" i="5"/>
  <c r="AH21" i="5" s="1"/>
  <c r="AH51" i="5"/>
  <c r="AK11" i="5"/>
  <c r="AJ12" i="5"/>
  <c r="AI13" i="5"/>
  <c r="AI14" i="5" s="1"/>
  <c r="AI24" i="5"/>
  <c r="AI25" i="5" s="1"/>
  <c r="AI62" i="5"/>
  <c r="AH64" i="5"/>
  <c r="AH81" i="5"/>
  <c r="AH63" i="5"/>
  <c r="AK28" i="5"/>
  <c r="U98" i="5"/>
  <c r="T99" i="5"/>
  <c r="S99" i="6"/>
  <c r="X52" i="5"/>
  <c r="Y35" i="5"/>
  <c r="Y36" i="5" s="1"/>
  <c r="Y37" i="5" s="1"/>
  <c r="Y38" i="5" s="1"/>
  <c r="W55" i="5"/>
  <c r="W56" i="5"/>
  <c r="W57" i="5" s="1"/>
  <c r="C34" i="3" s="1"/>
  <c r="V92" i="5"/>
  <c r="V94" i="5" s="1"/>
  <c r="T92" i="6"/>
  <c r="T94" i="6" s="1"/>
  <c r="U95" i="6" s="1"/>
  <c r="T88" i="6"/>
  <c r="V69" i="5"/>
  <c r="V70" i="5" s="1"/>
  <c r="V87" i="5" s="1"/>
  <c r="V88" i="5" s="1"/>
  <c r="X41" i="5"/>
  <c r="X42" i="5" s="1"/>
  <c r="W83" i="5"/>
  <c r="W84" i="5" s="1"/>
  <c r="W93" i="5" s="1"/>
  <c r="W68" i="5"/>
  <c r="W67" i="5"/>
  <c r="AB39" i="6"/>
  <c r="AB40" i="6" s="1"/>
  <c r="AA66" i="6"/>
  <c r="AA53" i="6"/>
  <c r="Z67" i="6"/>
  <c r="Z68" i="6"/>
  <c r="Z83" i="6"/>
  <c r="Z84" i="6" s="1"/>
  <c r="U55" i="6" l="1"/>
  <c r="U92" i="6" s="1"/>
  <c r="U56" i="6"/>
  <c r="U57" i="6" s="1"/>
  <c r="U87" i="6"/>
  <c r="U93" i="6"/>
  <c r="Y39" i="5"/>
  <c r="Y40" i="5" s="1"/>
  <c r="Y41" i="5" s="1"/>
  <c r="Y42" i="5" s="1"/>
  <c r="X53" i="5"/>
  <c r="X66" i="5"/>
  <c r="W35" i="6"/>
  <c r="W36" i="6" s="1"/>
  <c r="W37" i="6" s="1"/>
  <c r="W38" i="6" s="1"/>
  <c r="V52" i="6"/>
  <c r="V75" i="6"/>
  <c r="V77" i="6" s="1"/>
  <c r="AL28" i="6"/>
  <c r="AL11" i="6"/>
  <c r="AL12" i="6" s="1"/>
  <c r="AK12" i="6"/>
  <c r="AJ13" i="6"/>
  <c r="AJ14" i="6" s="1"/>
  <c r="AJ24" i="6"/>
  <c r="AJ25" i="6" s="1"/>
  <c r="AJ62" i="6"/>
  <c r="AI63" i="6"/>
  <c r="AI64" i="6"/>
  <c r="AI81" i="6"/>
  <c r="AK16" i="6"/>
  <c r="AK17" i="6" s="1"/>
  <c r="AK18" i="6" s="1"/>
  <c r="AH50" i="6"/>
  <c r="AH73" i="6"/>
  <c r="AI15" i="6"/>
  <c r="AF76" i="6"/>
  <c r="AF65" i="6"/>
  <c r="AG23" i="6"/>
  <c r="AG30" i="6" s="1"/>
  <c r="AG31" i="6"/>
  <c r="AH22" i="6"/>
  <c r="AJ19" i="6"/>
  <c r="AI20" i="6"/>
  <c r="AI21" i="6" s="1"/>
  <c r="AI51" i="6"/>
  <c r="AI26" i="6"/>
  <c r="AI26" i="5"/>
  <c r="AI15" i="5"/>
  <c r="AK16" i="5"/>
  <c r="AK17" i="5" s="1"/>
  <c r="AK18" i="5" s="1"/>
  <c r="AH50" i="5"/>
  <c r="AH73" i="5"/>
  <c r="AH22" i="5"/>
  <c r="AG23" i="5"/>
  <c r="AG30" i="5" s="1"/>
  <c r="AG31" i="5"/>
  <c r="AG32" i="5" s="1"/>
  <c r="AF76" i="5"/>
  <c r="AF65" i="5"/>
  <c r="AJ19" i="5"/>
  <c r="AI20" i="5"/>
  <c r="AI21" i="5" s="1"/>
  <c r="AI51" i="5"/>
  <c r="AK12" i="5"/>
  <c r="AL11" i="5"/>
  <c r="AL12" i="5" s="1"/>
  <c r="AJ24" i="5"/>
  <c r="AJ25" i="5" s="1"/>
  <c r="AJ62" i="5"/>
  <c r="AJ13" i="5"/>
  <c r="AJ14" i="5" s="1"/>
  <c r="AI64" i="5"/>
  <c r="AI81" i="5"/>
  <c r="AI63" i="5"/>
  <c r="AL28" i="5"/>
  <c r="U99" i="5"/>
  <c r="Y52" i="5"/>
  <c r="Z35" i="5"/>
  <c r="Z36" i="5" s="1"/>
  <c r="Z37" i="5" s="1"/>
  <c r="Z38" i="5" s="1"/>
  <c r="W92" i="5"/>
  <c r="W94" i="5" s="1"/>
  <c r="X95" i="5" s="1"/>
  <c r="V97" i="5"/>
  <c r="V98" i="5" s="1"/>
  <c r="T97" i="6"/>
  <c r="T98" i="6" s="1"/>
  <c r="W69" i="5"/>
  <c r="W70" i="5" s="1"/>
  <c r="W87" i="5" s="1"/>
  <c r="W88" i="5" s="1"/>
  <c r="AB41" i="6"/>
  <c r="AB42" i="6" s="1"/>
  <c r="AA83" i="6"/>
  <c r="AA84" i="6" s="1"/>
  <c r="AA68" i="6"/>
  <c r="AA67" i="6"/>
  <c r="Z69" i="6"/>
  <c r="Z70" i="6" s="1"/>
  <c r="V47" i="6"/>
  <c r="X47" i="5"/>
  <c r="X75" i="5"/>
  <c r="X77" i="5" s="1"/>
  <c r="U88" i="6" l="1"/>
  <c r="U97" i="6" s="1"/>
  <c r="U98" i="6" s="1"/>
  <c r="U94" i="6"/>
  <c r="X83" i="5"/>
  <c r="X84" i="5" s="1"/>
  <c r="X93" i="5" s="1"/>
  <c r="X68" i="5"/>
  <c r="X67" i="5"/>
  <c r="X69" i="5" s="1"/>
  <c r="X55" i="5"/>
  <c r="X92" i="5" s="1"/>
  <c r="X56" i="5"/>
  <c r="X57" i="5" s="1"/>
  <c r="V55" i="6"/>
  <c r="V92" i="6" s="1"/>
  <c r="V56" i="6"/>
  <c r="V57" i="6" s="1"/>
  <c r="V87" i="6"/>
  <c r="V93" i="6"/>
  <c r="AB66" i="6"/>
  <c r="AC39" i="6"/>
  <c r="AC40" i="6" s="1"/>
  <c r="AC41" i="6" s="1"/>
  <c r="AC42" i="6" s="1"/>
  <c r="AB53" i="6"/>
  <c r="AL13" i="6"/>
  <c r="AL24" i="6"/>
  <c r="AL62" i="6"/>
  <c r="AK13" i="6"/>
  <c r="AK24" i="6"/>
  <c r="AK25" i="6" s="1"/>
  <c r="AK62" i="6"/>
  <c r="AJ63" i="6"/>
  <c r="AJ64" i="6"/>
  <c r="AJ81" i="6"/>
  <c r="AI50" i="6"/>
  <c r="AI73" i="6"/>
  <c r="AL16" i="6"/>
  <c r="AL17" i="6" s="1"/>
  <c r="AL18" i="6" s="1"/>
  <c r="AL19" i="6" s="1"/>
  <c r="AK14" i="6"/>
  <c r="AJ15" i="6"/>
  <c r="AG76" i="6"/>
  <c r="AG65" i="6"/>
  <c r="AH23" i="6"/>
  <c r="AH30" i="6" s="1"/>
  <c r="AH31" i="6"/>
  <c r="AI22" i="6"/>
  <c r="AK19" i="6"/>
  <c r="AJ20" i="6"/>
  <c r="AJ21" i="6" s="1"/>
  <c r="AJ51" i="6"/>
  <c r="AJ26" i="6"/>
  <c r="AJ26" i="5"/>
  <c r="AJ15" i="5"/>
  <c r="AL16" i="5"/>
  <c r="AL17" i="5" s="1"/>
  <c r="AL18" i="5" s="1"/>
  <c r="AL19" i="5" s="1"/>
  <c r="AI50" i="5"/>
  <c r="AI73" i="5"/>
  <c r="AI22" i="5"/>
  <c r="AH23" i="5"/>
  <c r="AH30" i="5" s="1"/>
  <c r="AH31" i="5"/>
  <c r="AH32" i="5" s="1"/>
  <c r="AG76" i="5"/>
  <c r="AG65" i="5"/>
  <c r="AK19" i="5"/>
  <c r="AJ20" i="5"/>
  <c r="AJ21" i="5" s="1"/>
  <c r="AJ51" i="5"/>
  <c r="AK13" i="5"/>
  <c r="AK14" i="5" s="1"/>
  <c r="AK24" i="5"/>
  <c r="AK25" i="5" s="1"/>
  <c r="AK62" i="5"/>
  <c r="E5" i="2"/>
  <c r="D5" i="2"/>
  <c r="C5" i="2"/>
  <c r="AL13" i="5"/>
  <c r="AL24" i="5"/>
  <c r="AL62" i="5"/>
  <c r="AJ64" i="5"/>
  <c r="AJ81" i="5"/>
  <c r="AJ63" i="5"/>
  <c r="V99" i="5"/>
  <c r="D12" i="2"/>
  <c r="Z52" i="5"/>
  <c r="AA35" i="5"/>
  <c r="AA36" i="5" s="1"/>
  <c r="AA37" i="5" s="1"/>
  <c r="AA38" i="5" s="1"/>
  <c r="W97" i="5"/>
  <c r="W98" i="5" s="1"/>
  <c r="T99" i="6"/>
  <c r="AA69" i="6"/>
  <c r="AA70" i="6" s="1"/>
  <c r="X35" i="6"/>
  <c r="X36" i="6" s="1"/>
  <c r="W75" i="6"/>
  <c r="W77" i="6" s="1"/>
  <c r="W52" i="6"/>
  <c r="W47" i="6"/>
  <c r="Y47" i="5"/>
  <c r="Y53" i="5"/>
  <c r="Y66" i="5"/>
  <c r="Z39" i="5"/>
  <c r="Z40" i="5" s="1"/>
  <c r="Y75" i="5"/>
  <c r="Y77" i="5" s="1"/>
  <c r="V88" i="6" l="1"/>
  <c r="V97" i="6" s="1"/>
  <c r="V98" i="6" s="1"/>
  <c r="X70" i="5"/>
  <c r="X87" i="5" s="1"/>
  <c r="X88" i="5" s="1"/>
  <c r="V94" i="6"/>
  <c r="X94" i="5"/>
  <c r="AB68" i="6"/>
  <c r="AB67" i="6"/>
  <c r="AB69" i="6" s="1"/>
  <c r="AB83" i="6"/>
  <c r="AB84" i="6" s="1"/>
  <c r="AC53" i="6"/>
  <c r="AD39" i="6"/>
  <c r="AD40" i="6" s="1"/>
  <c r="AD41" i="6" s="1"/>
  <c r="AD42" i="6" s="1"/>
  <c r="AL63" i="6"/>
  <c r="AL64" i="6"/>
  <c r="AL81" i="6"/>
  <c r="AK63" i="6"/>
  <c r="AK64" i="6"/>
  <c r="AK81" i="6"/>
  <c r="AK15" i="6"/>
  <c r="AL14" i="6"/>
  <c r="AL15" i="6" s="1"/>
  <c r="AJ50" i="6"/>
  <c r="AJ73" i="6"/>
  <c r="AH76" i="6"/>
  <c r="AH65" i="6"/>
  <c r="AJ22" i="6"/>
  <c r="AI23" i="6"/>
  <c r="AI30" i="6" s="1"/>
  <c r="AI31" i="6"/>
  <c r="AL20" i="6"/>
  <c r="AL51" i="6"/>
  <c r="AK20" i="6"/>
  <c r="AK21" i="6" s="1"/>
  <c r="AK51" i="6"/>
  <c r="AL25" i="6"/>
  <c r="AL26" i="6" s="1"/>
  <c r="AK26" i="6"/>
  <c r="AL25" i="5"/>
  <c r="AL26" i="5" s="1"/>
  <c r="AK26" i="5"/>
  <c r="AL14" i="5"/>
  <c r="AL15" i="5" s="1"/>
  <c r="AK15" i="5"/>
  <c r="AJ50" i="5"/>
  <c r="AJ73" i="5"/>
  <c r="AJ22" i="5"/>
  <c r="AI23" i="5"/>
  <c r="AI30" i="5" s="1"/>
  <c r="AI31" i="5"/>
  <c r="AI32" i="5" s="1"/>
  <c r="AH76" i="5"/>
  <c r="AH65" i="5"/>
  <c r="E7" i="2"/>
  <c r="D7" i="2"/>
  <c r="C7" i="2"/>
  <c r="AL20" i="5"/>
  <c r="AL51" i="5"/>
  <c r="AK20" i="5"/>
  <c r="AK21" i="5" s="1"/>
  <c r="AK51" i="5"/>
  <c r="AK64" i="5"/>
  <c r="AK81" i="5"/>
  <c r="AK63" i="5"/>
  <c r="AL63" i="5"/>
  <c r="AL64" i="5"/>
  <c r="AL81" i="5"/>
  <c r="E8" i="2"/>
  <c r="W99" i="5"/>
  <c r="AA52" i="5"/>
  <c r="AB35" i="5"/>
  <c r="AB36" i="5" s="1"/>
  <c r="AB37" i="5" s="1"/>
  <c r="AB38" i="5" s="1"/>
  <c r="U99" i="6"/>
  <c r="X37" i="6"/>
  <c r="X38" i="6" s="1"/>
  <c r="W87" i="6"/>
  <c r="W93" i="6"/>
  <c r="W55" i="6"/>
  <c r="W56" i="6"/>
  <c r="W57" i="6" s="1"/>
  <c r="Y67" i="5"/>
  <c r="Y68" i="5"/>
  <c r="Y83" i="5"/>
  <c r="Y84" i="5" s="1"/>
  <c r="Y93" i="5" s="1"/>
  <c r="Z41" i="5"/>
  <c r="Z42" i="5" s="1"/>
  <c r="Y55" i="5"/>
  <c r="Y56" i="5"/>
  <c r="Y57" i="5" s="1"/>
  <c r="AB70" i="6" l="1"/>
  <c r="AE39" i="6"/>
  <c r="AE40" i="6" s="1"/>
  <c r="AE41" i="6" s="1"/>
  <c r="AE42" i="6" s="1"/>
  <c r="AD53" i="6"/>
  <c r="X47" i="6"/>
  <c r="X52" i="6"/>
  <c r="X75" i="6"/>
  <c r="X77" i="6" s="1"/>
  <c r="Y35" i="6"/>
  <c r="Y36" i="6" s="1"/>
  <c r="Y37" i="6" s="1"/>
  <c r="Y38" i="6" s="1"/>
  <c r="Y47" i="6" s="1"/>
  <c r="AK50" i="6"/>
  <c r="AK73" i="6"/>
  <c r="AL50" i="6"/>
  <c r="AL73" i="6"/>
  <c r="AK22" i="6"/>
  <c r="AL21" i="6"/>
  <c r="AL22" i="6" s="1"/>
  <c r="AJ23" i="6"/>
  <c r="AJ30" i="6" s="1"/>
  <c r="AJ31" i="6"/>
  <c r="AI76" i="6"/>
  <c r="AI65" i="6"/>
  <c r="E6" i="2"/>
  <c r="D6" i="2"/>
  <c r="C6" i="2"/>
  <c r="AL50" i="5"/>
  <c r="AL73" i="5"/>
  <c r="AK50" i="5"/>
  <c r="AK73" i="5"/>
  <c r="AL21" i="5"/>
  <c r="AL22" i="5" s="1"/>
  <c r="AK22" i="5"/>
  <c r="AJ23" i="5"/>
  <c r="AJ30" i="5" s="1"/>
  <c r="AJ31" i="5"/>
  <c r="AJ32" i="5" s="1"/>
  <c r="AI76" i="5"/>
  <c r="AI65" i="5"/>
  <c r="AB52" i="5"/>
  <c r="AC35" i="5"/>
  <c r="AC36" i="5" s="1"/>
  <c r="AC37" i="5" s="1"/>
  <c r="AC38" i="5" s="1"/>
  <c r="V99" i="6"/>
  <c r="W92" i="6"/>
  <c r="W94" i="6" s="1"/>
  <c r="X95" i="6" s="1"/>
  <c r="W88" i="6"/>
  <c r="Y69" i="5"/>
  <c r="Y70" i="5" s="1"/>
  <c r="Y87" i="5" s="1"/>
  <c r="Y88" i="5" s="1"/>
  <c r="Z53" i="5"/>
  <c r="Z66" i="5"/>
  <c r="D13" i="2"/>
  <c r="AA39" i="5"/>
  <c r="AA40" i="5" s="1"/>
  <c r="Z75" i="5"/>
  <c r="Z77" i="5" s="1"/>
  <c r="Z47" i="5"/>
  <c r="D15" i="2" s="1"/>
  <c r="Y92" i="5"/>
  <c r="Y94" i="5" s="1"/>
  <c r="X56" i="6" l="1"/>
  <c r="X57" i="6" s="1"/>
  <c r="X55" i="6"/>
  <c r="X87" i="6"/>
  <c r="X93" i="6"/>
  <c r="AE53" i="6"/>
  <c r="AF39" i="6"/>
  <c r="AF40" i="6" s="1"/>
  <c r="AF41" i="6" s="1"/>
  <c r="AF42" i="6" s="1"/>
  <c r="AF53" i="6" s="1"/>
  <c r="Z35" i="6"/>
  <c r="Z36" i="6" s="1"/>
  <c r="Z37" i="6" s="1"/>
  <c r="Z38" i="6" s="1"/>
  <c r="Z47" i="6" s="1"/>
  <c r="Y52" i="6"/>
  <c r="Y75" i="6"/>
  <c r="Y77" i="6" s="1"/>
  <c r="AK23" i="6"/>
  <c r="AK30" i="6" s="1"/>
  <c r="AK31" i="6"/>
  <c r="AL23" i="6"/>
  <c r="AL30" i="6" s="1"/>
  <c r="AL31" i="6"/>
  <c r="AJ76" i="6"/>
  <c r="AJ65" i="6"/>
  <c r="E18" i="2"/>
  <c r="D18" i="2"/>
  <c r="C18" i="2"/>
  <c r="AL23" i="5"/>
  <c r="AL30" i="5" s="1"/>
  <c r="AL31" i="5"/>
  <c r="AL32" i="5" s="1"/>
  <c r="AK23" i="5"/>
  <c r="AK30" i="5" s="1"/>
  <c r="AK31" i="5"/>
  <c r="AK32" i="5" s="1"/>
  <c r="AJ76" i="5"/>
  <c r="AJ65" i="5"/>
  <c r="AC52" i="5"/>
  <c r="AD35" i="5"/>
  <c r="AD36" i="5" s="1"/>
  <c r="W97" i="6"/>
  <c r="W98" i="6" s="1"/>
  <c r="Z55" i="5"/>
  <c r="Z56" i="5"/>
  <c r="Z57" i="5" s="1"/>
  <c r="C26" i="3" s="1"/>
  <c r="D26" i="3" s="1"/>
  <c r="Z68" i="5"/>
  <c r="Z83" i="5"/>
  <c r="Z84" i="5" s="1"/>
  <c r="Z93" i="5" s="1"/>
  <c r="Z67" i="5"/>
  <c r="D9" i="2"/>
  <c r="Y97" i="5"/>
  <c r="AA41" i="5"/>
  <c r="AA42" i="5" s="1"/>
  <c r="Y55" i="6" l="1"/>
  <c r="Y92" i="6" s="1"/>
  <c r="Y56" i="6"/>
  <c r="Y57" i="6" s="1"/>
  <c r="Y87" i="6"/>
  <c r="Y93" i="6"/>
  <c r="X88" i="6"/>
  <c r="X92" i="6"/>
  <c r="X94" i="6" s="1"/>
  <c r="AK76" i="6"/>
  <c r="AK65" i="6"/>
  <c r="AL65" i="6"/>
  <c r="AL76" i="6"/>
  <c r="AL76" i="5"/>
  <c r="AL65" i="5"/>
  <c r="AK76" i="5"/>
  <c r="AK65" i="5"/>
  <c r="W99" i="6"/>
  <c r="Z92" i="5"/>
  <c r="Z94" i="5" s="1"/>
  <c r="AA95" i="5" s="1"/>
  <c r="D23" i="2"/>
  <c r="D18" i="3"/>
  <c r="Z69" i="5"/>
  <c r="Z70" i="5" s="1"/>
  <c r="Z87" i="5" s="1"/>
  <c r="Z88" i="5" s="1"/>
  <c r="AB39" i="5"/>
  <c r="AB40" i="5" s="1"/>
  <c r="AA66" i="5"/>
  <c r="AA53" i="5"/>
  <c r="AA47" i="5"/>
  <c r="AA75" i="5"/>
  <c r="AA77" i="5" s="1"/>
  <c r="AD37" i="5"/>
  <c r="AD38" i="5" s="1"/>
  <c r="AG39" i="6"/>
  <c r="AG40" i="6" s="1"/>
  <c r="Z52" i="6"/>
  <c r="Z75" i="6"/>
  <c r="Z77" i="6" s="1"/>
  <c r="AA35" i="6"/>
  <c r="AA36" i="6" s="1"/>
  <c r="Y94" i="6" l="1"/>
  <c r="Y88" i="6"/>
  <c r="Y97" i="6" s="1"/>
  <c r="Z97" i="5"/>
  <c r="E19" i="3"/>
  <c r="D19" i="3"/>
  <c r="AB41" i="5"/>
  <c r="AB42" i="5" s="1"/>
  <c r="AB75" i="5" s="1"/>
  <c r="AB77" i="5" s="1"/>
  <c r="AA83" i="5"/>
  <c r="AA84" i="5" s="1"/>
  <c r="AA93" i="5" s="1"/>
  <c r="AA68" i="5"/>
  <c r="AA67" i="5"/>
  <c r="AA56" i="5"/>
  <c r="AA57" i="5" s="1"/>
  <c r="AA55" i="5"/>
  <c r="AE35" i="5"/>
  <c r="AE36" i="5" s="1"/>
  <c r="AD52" i="5"/>
  <c r="AG41" i="6"/>
  <c r="AG42" i="6" s="1"/>
  <c r="Z56" i="6"/>
  <c r="Z57" i="6" s="1"/>
  <c r="Z55" i="6"/>
  <c r="Z93" i="6"/>
  <c r="Z87" i="6"/>
  <c r="AA37" i="6"/>
  <c r="AA38" i="6" s="1"/>
  <c r="AA69" i="5" l="1"/>
  <c r="AA70" i="5" s="1"/>
  <c r="AA92" i="5"/>
  <c r="AA94" i="5" s="1"/>
  <c r="AE37" i="5"/>
  <c r="AE38" i="5" s="1"/>
  <c r="AH39" i="6"/>
  <c r="AH40" i="6" s="1"/>
  <c r="AH41" i="6" s="1"/>
  <c r="AH42" i="6" s="1"/>
  <c r="AG53" i="6"/>
  <c r="Z92" i="6"/>
  <c r="Z94" i="6" s="1"/>
  <c r="AA95" i="6" s="1"/>
  <c r="Z88" i="6"/>
  <c r="AB35" i="6"/>
  <c r="AB36" i="6" s="1"/>
  <c r="AB37" i="6" s="1"/>
  <c r="AB38" i="6" s="1"/>
  <c r="AA75" i="6"/>
  <c r="AA77" i="6" s="1"/>
  <c r="AA52" i="6"/>
  <c r="AA47" i="6"/>
  <c r="AB47" i="5"/>
  <c r="AB53" i="5"/>
  <c r="AB66" i="5"/>
  <c r="AC39" i="5"/>
  <c r="AC40" i="5" s="1"/>
  <c r="AA87" i="5" l="1"/>
  <c r="AH53" i="6"/>
  <c r="AI39" i="6"/>
  <c r="AI40" i="6" s="1"/>
  <c r="AI41" i="6" s="1"/>
  <c r="AI42" i="6" s="1"/>
  <c r="Z97" i="6"/>
  <c r="AA87" i="6"/>
  <c r="AA93" i="6"/>
  <c r="AA55" i="6"/>
  <c r="AA56" i="6"/>
  <c r="AA57" i="6" s="1"/>
  <c r="AB47" i="6"/>
  <c r="AB52" i="6"/>
  <c r="AB75" i="6"/>
  <c r="AB77" i="6" s="1"/>
  <c r="AC35" i="6"/>
  <c r="AC36" i="6" s="1"/>
  <c r="AC37" i="6" s="1"/>
  <c r="AC38" i="6" s="1"/>
  <c r="AB55" i="5"/>
  <c r="AB56" i="5"/>
  <c r="AB57" i="5" s="1"/>
  <c r="AB67" i="5"/>
  <c r="AB68" i="5"/>
  <c r="AB83" i="5"/>
  <c r="AB84" i="5" s="1"/>
  <c r="AC41" i="5"/>
  <c r="AC42" i="5" s="1"/>
  <c r="AE52" i="5"/>
  <c r="AF35" i="5"/>
  <c r="AF36" i="5" s="1"/>
  <c r="AA88" i="5" l="1"/>
  <c r="AI53" i="6"/>
  <c r="AJ39" i="6"/>
  <c r="AJ40" i="6" s="1"/>
  <c r="AJ41" i="6" s="1"/>
  <c r="AJ42" i="6" s="1"/>
  <c r="AA88" i="6"/>
  <c r="AA92" i="6"/>
  <c r="AA94" i="6" s="1"/>
  <c r="AC66" i="6"/>
  <c r="AC47" i="6"/>
  <c r="AC52" i="6"/>
  <c r="AC75" i="6"/>
  <c r="AC77" i="6" s="1"/>
  <c r="AD35" i="6"/>
  <c r="AD36" i="6" s="1"/>
  <c r="AD37" i="6" s="1"/>
  <c r="AD38" i="6" s="1"/>
  <c r="AB55" i="6"/>
  <c r="AB56" i="6"/>
  <c r="AB57" i="6" s="1"/>
  <c r="AB87" i="6"/>
  <c r="AB93" i="6"/>
  <c r="AB92" i="5"/>
  <c r="AB69" i="5"/>
  <c r="AB70" i="5" s="1"/>
  <c r="AB93" i="5"/>
  <c r="AD39" i="5"/>
  <c r="AD40" i="5" s="1"/>
  <c r="AC66" i="5"/>
  <c r="AC53" i="5"/>
  <c r="AC47" i="5"/>
  <c r="AC75" i="5"/>
  <c r="AC77" i="5" s="1"/>
  <c r="AF37" i="5"/>
  <c r="AF38" i="5" s="1"/>
  <c r="AA97" i="5" l="1"/>
  <c r="AJ53" i="6"/>
  <c r="AK39" i="6"/>
  <c r="AK40" i="6" s="1"/>
  <c r="AA97" i="6"/>
  <c r="AC67" i="6"/>
  <c r="AC68" i="6"/>
  <c r="AC83" i="6"/>
  <c r="AC84" i="6" s="1"/>
  <c r="AC93" i="6" s="1"/>
  <c r="AD66" i="6"/>
  <c r="AD47" i="6"/>
  <c r="AD52" i="6"/>
  <c r="AD75" i="6"/>
  <c r="AD77" i="6" s="1"/>
  <c r="AE35" i="6"/>
  <c r="AE36" i="6" s="1"/>
  <c r="AE37" i="6" s="1"/>
  <c r="AE38" i="6" s="1"/>
  <c r="AC55" i="6"/>
  <c r="AC56" i="6"/>
  <c r="AC57" i="6" s="1"/>
  <c r="AB92" i="6"/>
  <c r="AB94" i="6" s="1"/>
  <c r="AB88" i="6"/>
  <c r="AB87" i="5"/>
  <c r="AC83" i="5"/>
  <c r="AC84" i="5" s="1"/>
  <c r="AC93" i="5" s="1"/>
  <c r="AC68" i="5"/>
  <c r="AC67" i="5"/>
  <c r="AC56" i="5"/>
  <c r="AC57" i="5" s="1"/>
  <c r="AC55" i="5"/>
  <c r="AF52" i="5"/>
  <c r="AG35" i="5"/>
  <c r="AG36" i="5" s="1"/>
  <c r="AG37" i="5" s="1"/>
  <c r="AG38" i="5" s="1"/>
  <c r="AB94" i="5"/>
  <c r="AD41" i="5"/>
  <c r="AD42" i="5" s="1"/>
  <c r="AC69" i="6" l="1"/>
  <c r="AC70" i="6" s="1"/>
  <c r="AC87" i="6" s="1"/>
  <c r="AC88" i="6" s="1"/>
  <c r="AD67" i="6"/>
  <c r="AD68" i="6"/>
  <c r="AD83" i="6"/>
  <c r="AD84" i="6" s="1"/>
  <c r="AD93" i="6" s="1"/>
  <c r="AE66" i="6"/>
  <c r="AE47" i="6"/>
  <c r="AE52" i="6"/>
  <c r="AE75" i="6"/>
  <c r="AE77" i="6" s="1"/>
  <c r="AF35" i="6"/>
  <c r="AF36" i="6" s="1"/>
  <c r="AF37" i="6" s="1"/>
  <c r="AF38" i="6" s="1"/>
  <c r="AD55" i="6"/>
  <c r="AD56" i="6"/>
  <c r="AD57" i="6" s="1"/>
  <c r="AC92" i="6"/>
  <c r="AC94" i="6" s="1"/>
  <c r="AD95" i="6" s="1"/>
  <c r="AB97" i="6"/>
  <c r="AB88" i="5"/>
  <c r="AC69" i="5"/>
  <c r="AC70" i="5" s="1"/>
  <c r="AC92" i="5"/>
  <c r="AC94" i="5" s="1"/>
  <c r="AD95" i="5" s="1"/>
  <c r="AG52" i="5"/>
  <c r="AH35" i="5"/>
  <c r="AH36" i="5" s="1"/>
  <c r="AH37" i="5" s="1"/>
  <c r="AH38" i="5" s="1"/>
  <c r="AE39" i="5"/>
  <c r="AE40" i="5" s="1"/>
  <c r="AD66" i="5"/>
  <c r="AD53" i="5"/>
  <c r="AD75" i="5"/>
  <c r="AD77" i="5" s="1"/>
  <c r="AD47" i="5"/>
  <c r="AK41" i="6"/>
  <c r="AK42" i="6" s="1"/>
  <c r="AD69" i="6" l="1"/>
  <c r="AD70" i="6" s="1"/>
  <c r="AD87" i="6" s="1"/>
  <c r="AD88" i="6" s="1"/>
  <c r="AE67" i="6"/>
  <c r="AE68" i="6"/>
  <c r="AE83" i="6"/>
  <c r="AE84" i="6" s="1"/>
  <c r="AE93" i="6" s="1"/>
  <c r="AF66" i="6"/>
  <c r="AF47" i="6"/>
  <c r="AF52" i="6"/>
  <c r="AF75" i="6"/>
  <c r="AF77" i="6" s="1"/>
  <c r="AG35" i="6"/>
  <c r="AG36" i="6" s="1"/>
  <c r="AG37" i="6" s="1"/>
  <c r="AG38" i="6" s="1"/>
  <c r="AE55" i="6"/>
  <c r="AE56" i="6"/>
  <c r="AE57" i="6" s="1"/>
  <c r="AD92" i="6"/>
  <c r="AD94" i="6" s="1"/>
  <c r="AC97" i="6"/>
  <c r="AB97" i="5"/>
  <c r="AC87" i="5"/>
  <c r="AH52" i="5"/>
  <c r="AI35" i="5"/>
  <c r="AI36" i="5" s="1"/>
  <c r="AI37" i="5" s="1"/>
  <c r="AI38" i="5" s="1"/>
  <c r="AE41" i="5"/>
  <c r="AE42" i="5" s="1"/>
  <c r="AD83" i="5"/>
  <c r="AD84" i="5" s="1"/>
  <c r="AD93" i="5" s="1"/>
  <c r="AD68" i="5"/>
  <c r="AD67" i="5"/>
  <c r="AD55" i="5"/>
  <c r="AD56" i="5"/>
  <c r="AD57" i="5" s="1"/>
  <c r="AL39" i="6"/>
  <c r="AL40" i="6" s="1"/>
  <c r="AL41" i="6" s="1"/>
  <c r="AL42" i="6" s="1"/>
  <c r="AK53" i="6"/>
  <c r="AE75" i="5" l="1"/>
  <c r="AE77" i="5" s="1"/>
  <c r="AE47" i="5"/>
  <c r="AE53" i="5"/>
  <c r="AE66" i="5"/>
  <c r="AF39" i="5"/>
  <c r="AF40" i="5" s="1"/>
  <c r="AF41" i="5" s="1"/>
  <c r="AF42" i="5" s="1"/>
  <c r="AE69" i="6"/>
  <c r="AE70" i="6" s="1"/>
  <c r="AE87" i="6" s="1"/>
  <c r="AE88" i="6" s="1"/>
  <c r="AF68" i="6"/>
  <c r="AF83" i="6"/>
  <c r="AF84" i="6" s="1"/>
  <c r="AF93" i="6" s="1"/>
  <c r="AF67" i="6"/>
  <c r="AG66" i="6"/>
  <c r="AG47" i="6"/>
  <c r="AG52" i="6"/>
  <c r="AG75" i="6"/>
  <c r="AG77" i="6" s="1"/>
  <c r="AH35" i="6"/>
  <c r="AH36" i="6" s="1"/>
  <c r="AF55" i="6"/>
  <c r="AF56" i="6"/>
  <c r="AF57" i="6" s="1"/>
  <c r="AE92" i="6"/>
  <c r="AE94" i="6" s="1"/>
  <c r="AD97" i="6"/>
  <c r="AC88" i="5"/>
  <c r="AI52" i="5"/>
  <c r="AJ35" i="5"/>
  <c r="AJ36" i="5" s="1"/>
  <c r="AJ37" i="5" s="1"/>
  <c r="AJ38" i="5" s="1"/>
  <c r="AD69" i="5"/>
  <c r="AD70" i="5" s="1"/>
  <c r="AD92" i="5"/>
  <c r="AD94" i="5" s="1"/>
  <c r="AL53" i="6"/>
  <c r="D40" i="2"/>
  <c r="AE55" i="5" l="1"/>
  <c r="AE92" i="5" s="1"/>
  <c r="AE56" i="5"/>
  <c r="AE57" i="5" s="1"/>
  <c r="AE83" i="5"/>
  <c r="AE84" i="5" s="1"/>
  <c r="AE93" i="5" s="1"/>
  <c r="AE68" i="5"/>
  <c r="AE67" i="5"/>
  <c r="AE69" i="5" s="1"/>
  <c r="AF75" i="5"/>
  <c r="AF77" i="5" s="1"/>
  <c r="AF47" i="5"/>
  <c r="AF53" i="5"/>
  <c r="AF66" i="5"/>
  <c r="AG39" i="5"/>
  <c r="AG40" i="5" s="1"/>
  <c r="AG41" i="5" s="1"/>
  <c r="AG42" i="5" s="1"/>
  <c r="AF69" i="6"/>
  <c r="AF70" i="6" s="1"/>
  <c r="AF87" i="6" s="1"/>
  <c r="AF88" i="6" s="1"/>
  <c r="AG67" i="6"/>
  <c r="AG83" i="6"/>
  <c r="AG84" i="6" s="1"/>
  <c r="AG93" i="6" s="1"/>
  <c r="AG68" i="6"/>
  <c r="AG55" i="6"/>
  <c r="AG56" i="6"/>
  <c r="AG57" i="6" s="1"/>
  <c r="AF92" i="6"/>
  <c r="AF94" i="6" s="1"/>
  <c r="AG95" i="6" s="1"/>
  <c r="AE97" i="6"/>
  <c r="AC97" i="5"/>
  <c r="AJ52" i="5"/>
  <c r="AK35" i="5"/>
  <c r="AK36" i="5" s="1"/>
  <c r="AD87" i="5"/>
  <c r="AH37" i="6"/>
  <c r="AH38" i="6" s="1"/>
  <c r="AE70" i="5" l="1"/>
  <c r="AE87" i="5" s="1"/>
  <c r="AE88" i="5" s="1"/>
  <c r="AE97" i="5" s="1"/>
  <c r="AE94" i="5"/>
  <c r="AF56" i="5"/>
  <c r="AF57" i="5" s="1"/>
  <c r="AF55" i="5"/>
  <c r="AF92" i="5" s="1"/>
  <c r="AF83" i="5"/>
  <c r="AF84" i="5" s="1"/>
  <c r="AF93" i="5" s="1"/>
  <c r="AF68" i="5"/>
  <c r="AF67" i="5"/>
  <c r="AG75" i="5"/>
  <c r="AG77" i="5" s="1"/>
  <c r="AG66" i="5"/>
  <c r="AG68" i="5" s="1"/>
  <c r="AH39" i="5"/>
  <c r="AH40" i="5" s="1"/>
  <c r="AH41" i="5" s="1"/>
  <c r="AH42" i="5" s="1"/>
  <c r="AH75" i="5" s="1"/>
  <c r="AH77" i="5" s="1"/>
  <c r="AG53" i="5"/>
  <c r="AG47" i="5"/>
  <c r="AG69" i="6"/>
  <c r="AG70" i="6" s="1"/>
  <c r="AG87" i="6" s="1"/>
  <c r="AG88" i="6" s="1"/>
  <c r="AG92" i="6"/>
  <c r="AG94" i="6" s="1"/>
  <c r="AF97" i="6"/>
  <c r="AD88" i="5"/>
  <c r="AI35" i="6"/>
  <c r="AI36" i="6" s="1"/>
  <c r="AH75" i="6"/>
  <c r="AH77" i="6" s="1"/>
  <c r="AH52" i="6"/>
  <c r="AH47" i="6"/>
  <c r="AH66" i="6"/>
  <c r="AK37" i="5"/>
  <c r="AK38" i="5" s="1"/>
  <c r="AF94" i="5" l="1"/>
  <c r="AG95" i="5" s="1"/>
  <c r="AF69" i="5"/>
  <c r="AF70" i="5" s="1"/>
  <c r="AF87" i="5" s="1"/>
  <c r="AF88" i="5" s="1"/>
  <c r="AF97" i="5" s="1"/>
  <c r="AG56" i="5"/>
  <c r="AG57" i="5" s="1"/>
  <c r="AG55" i="5"/>
  <c r="AG92" i="5" s="1"/>
  <c r="AG67" i="5"/>
  <c r="AG69" i="5" s="1"/>
  <c r="AG70" i="5" s="1"/>
  <c r="AG83" i="5"/>
  <c r="AG84" i="5" s="1"/>
  <c r="AG93" i="5" s="1"/>
  <c r="AG97" i="6"/>
  <c r="AD97" i="5"/>
  <c r="AI37" i="6"/>
  <c r="AI38" i="6" s="1"/>
  <c r="AH55" i="6"/>
  <c r="AH56" i="6"/>
  <c r="AH57" i="6" s="1"/>
  <c r="AH67" i="6"/>
  <c r="AH83" i="6"/>
  <c r="AH84" i="6" s="1"/>
  <c r="AH93" i="6" s="1"/>
  <c r="AH68" i="6"/>
  <c r="AL35" i="5"/>
  <c r="AL36" i="5" s="1"/>
  <c r="AL37" i="5" s="1"/>
  <c r="AL38" i="5" s="1"/>
  <c r="AK52" i="5"/>
  <c r="AH47" i="5"/>
  <c r="AH53" i="5"/>
  <c r="AH66" i="5"/>
  <c r="AI39" i="5"/>
  <c r="AI40" i="5" s="1"/>
  <c r="AG87" i="5" l="1"/>
  <c r="AG88" i="5" s="1"/>
  <c r="AG97" i="5" s="1"/>
  <c r="AG94" i="5"/>
  <c r="AH92" i="6"/>
  <c r="AH94" i="6" s="1"/>
  <c r="AH69" i="6"/>
  <c r="AH70" i="6" s="1"/>
  <c r="AH87" i="6" s="1"/>
  <c r="AH88" i="6" s="1"/>
  <c r="E12" i="2"/>
  <c r="AL52" i="5"/>
  <c r="AH55" i="5"/>
  <c r="AH56" i="5"/>
  <c r="AH57" i="5" s="1"/>
  <c r="AH67" i="5"/>
  <c r="AH83" i="5"/>
  <c r="AH84" i="5" s="1"/>
  <c r="AH93" i="5" s="1"/>
  <c r="AH68" i="5"/>
  <c r="AI41" i="5"/>
  <c r="AI42" i="5" s="1"/>
  <c r="AI66" i="6"/>
  <c r="AI47" i="6"/>
  <c r="AI52" i="6"/>
  <c r="AI75" i="6"/>
  <c r="AI77" i="6" s="1"/>
  <c r="AJ35" i="6"/>
  <c r="AJ36" i="6" s="1"/>
  <c r="AH97" i="6" l="1"/>
  <c r="E19" i="2"/>
  <c r="D19" i="2"/>
  <c r="C19" i="2"/>
  <c r="AH92" i="5"/>
  <c r="AH94" i="5" s="1"/>
  <c r="AH69" i="5"/>
  <c r="AH70" i="5" s="1"/>
  <c r="AH87" i="5" s="1"/>
  <c r="AH88" i="5" s="1"/>
  <c r="AI75" i="5"/>
  <c r="AI77" i="5" s="1"/>
  <c r="AI47" i="5"/>
  <c r="AI53" i="5"/>
  <c r="AI66" i="5"/>
  <c r="AJ39" i="5"/>
  <c r="AJ40" i="5" s="1"/>
  <c r="AJ41" i="5" s="1"/>
  <c r="AJ42" i="5" s="1"/>
  <c r="AI83" i="6"/>
  <c r="AI84" i="6" s="1"/>
  <c r="AI93" i="6" s="1"/>
  <c r="AI68" i="6"/>
  <c r="AI67" i="6"/>
  <c r="AI56" i="6"/>
  <c r="AI57" i="6" s="1"/>
  <c r="AI55" i="6"/>
  <c r="AJ37" i="6"/>
  <c r="AJ38" i="6" s="1"/>
  <c r="AH97" i="5" l="1"/>
  <c r="AJ75" i="5"/>
  <c r="AJ77" i="5" s="1"/>
  <c r="AJ47" i="5"/>
  <c r="AJ53" i="5"/>
  <c r="AJ66" i="5"/>
  <c r="AK39" i="5"/>
  <c r="AK40" i="5" s="1"/>
  <c r="AI56" i="5"/>
  <c r="AI57" i="5" s="1"/>
  <c r="AI55" i="5"/>
  <c r="AI83" i="5"/>
  <c r="AI84" i="5" s="1"/>
  <c r="AI93" i="5" s="1"/>
  <c r="AI68" i="5"/>
  <c r="AI67" i="5"/>
  <c r="AI69" i="6"/>
  <c r="AI70" i="6" s="1"/>
  <c r="AI87" i="6" s="1"/>
  <c r="AI88" i="6" s="1"/>
  <c r="AI92" i="6"/>
  <c r="AI94" i="6" s="1"/>
  <c r="AJ95" i="6" s="1"/>
  <c r="AJ66" i="6"/>
  <c r="AJ47" i="6"/>
  <c r="AJ52" i="6"/>
  <c r="AJ75" i="6"/>
  <c r="AJ77" i="6" s="1"/>
  <c r="AK35" i="6"/>
  <c r="AK36" i="6" s="1"/>
  <c r="AK37" i="6" s="1"/>
  <c r="AK38" i="6" s="1"/>
  <c r="AJ56" i="5" l="1"/>
  <c r="AJ57" i="5" s="1"/>
  <c r="C27" i="3" s="1"/>
  <c r="D27" i="3" s="1"/>
  <c r="AJ55" i="5"/>
  <c r="AJ83" i="5"/>
  <c r="AJ84" i="5" s="1"/>
  <c r="AJ93" i="5" s="1"/>
  <c r="AJ68" i="5"/>
  <c r="AJ67" i="5"/>
  <c r="AI92" i="5"/>
  <c r="AI94" i="5" s="1"/>
  <c r="AJ95" i="5" s="1"/>
  <c r="AI69" i="5"/>
  <c r="AI70" i="5" s="1"/>
  <c r="AI87" i="5" s="1"/>
  <c r="AI88" i="5" s="1"/>
  <c r="AI97" i="6"/>
  <c r="AJ67" i="6"/>
  <c r="AJ83" i="6"/>
  <c r="AJ84" i="6" s="1"/>
  <c r="AJ93" i="6" s="1"/>
  <c r="AJ68" i="6"/>
  <c r="AK66" i="6"/>
  <c r="AK47" i="6"/>
  <c r="AK52" i="6"/>
  <c r="AK75" i="6"/>
  <c r="AK77" i="6" s="1"/>
  <c r="AL35" i="6"/>
  <c r="AL36" i="6" s="1"/>
  <c r="AL37" i="6" s="1"/>
  <c r="AL38" i="6" s="1"/>
  <c r="AJ55" i="6"/>
  <c r="AJ56" i="6"/>
  <c r="AJ57" i="6" s="1"/>
  <c r="AK41" i="5"/>
  <c r="AK42" i="5" s="1"/>
  <c r="AJ92" i="5" l="1"/>
  <c r="AJ94" i="5" s="1"/>
  <c r="AJ69" i="5"/>
  <c r="AJ70" i="5" s="1"/>
  <c r="AJ87" i="5" s="1"/>
  <c r="AJ88" i="5" s="1"/>
  <c r="AI97" i="5"/>
  <c r="AJ69" i="6"/>
  <c r="AJ70" i="6" s="1"/>
  <c r="AJ87" i="6" s="1"/>
  <c r="AJ88" i="6" s="1"/>
  <c r="AK67" i="6"/>
  <c r="AK83" i="6"/>
  <c r="AK84" i="6" s="1"/>
  <c r="AK93" i="6" s="1"/>
  <c r="AK68" i="6"/>
  <c r="AL66" i="6"/>
  <c r="AL47" i="6"/>
  <c r="AL52" i="6"/>
  <c r="AL75" i="6"/>
  <c r="AL77" i="6" s="1"/>
  <c r="AK55" i="6"/>
  <c r="AK56" i="6"/>
  <c r="AK57" i="6" s="1"/>
  <c r="AJ92" i="6"/>
  <c r="AJ94" i="6" s="1"/>
  <c r="AL39" i="5"/>
  <c r="AL40" i="5" s="1"/>
  <c r="AL41" i="5" s="1"/>
  <c r="AL42" i="5" s="1"/>
  <c r="AK66" i="5"/>
  <c r="AK53" i="5"/>
  <c r="AK47" i="5"/>
  <c r="AK75" i="5"/>
  <c r="AK77" i="5" s="1"/>
  <c r="AK69" i="6" l="1"/>
  <c r="AK70" i="6" s="1"/>
  <c r="AK87" i="6" s="1"/>
  <c r="AK88" i="6" s="1"/>
  <c r="AL67" i="6"/>
  <c r="AL83" i="6"/>
  <c r="AL84" i="6" s="1"/>
  <c r="AL93" i="6" s="1"/>
  <c r="AL68" i="6"/>
  <c r="AL55" i="6"/>
  <c r="AL56" i="6"/>
  <c r="AL57" i="6" s="1"/>
  <c r="D38" i="2" s="1"/>
  <c r="AK92" i="6"/>
  <c r="AK94" i="6" s="1"/>
  <c r="AK83" i="5"/>
  <c r="AK84" i="5" s="1"/>
  <c r="AK93" i="5" s="1"/>
  <c r="AK68" i="5"/>
  <c r="AK67" i="5"/>
  <c r="AK56" i="5"/>
  <c r="AK57" i="5" s="1"/>
  <c r="AK55" i="5"/>
  <c r="AL75" i="5"/>
  <c r="AL77" i="5" s="1"/>
  <c r="AL47" i="5"/>
  <c r="E15" i="2" s="1"/>
  <c r="C55" i="2" s="1"/>
  <c r="C40" i="2"/>
  <c r="AL53" i="5"/>
  <c r="AL66" i="5"/>
  <c r="E13" i="2"/>
  <c r="AL69" i="6" l="1"/>
  <c r="AL70" i="6" s="1"/>
  <c r="AL87" i="6" s="1"/>
  <c r="AL88" i="6" s="1"/>
  <c r="D39" i="2"/>
  <c r="AL92" i="6"/>
  <c r="AL94" i="6" s="1"/>
  <c r="AK97" i="6"/>
  <c r="AK69" i="5"/>
  <c r="AK70" i="5" s="1"/>
  <c r="AK87" i="5" s="1"/>
  <c r="AK88" i="5" s="1"/>
  <c r="AK92" i="5"/>
  <c r="AK94" i="5" s="1"/>
  <c r="D27" i="2"/>
  <c r="C27" i="2"/>
  <c r="E27" i="2"/>
  <c r="AL55" i="5"/>
  <c r="AL56" i="5"/>
  <c r="AL57" i="5" s="1"/>
  <c r="E20" i="2"/>
  <c r="D20" i="2"/>
  <c r="C20" i="2"/>
  <c r="AL83" i="5"/>
  <c r="AL84" i="5" s="1"/>
  <c r="AL93" i="5" s="1"/>
  <c r="AL68" i="5"/>
  <c r="AL67" i="5"/>
  <c r="E9" i="2"/>
  <c r="AG89" i="6" l="1"/>
  <c r="AF89" i="6"/>
  <c r="AE89" i="6"/>
  <c r="AD89" i="6"/>
  <c r="AC89" i="6"/>
  <c r="AA89" i="6"/>
  <c r="AB89" i="6"/>
  <c r="E104" i="6"/>
  <c r="Z89" i="6"/>
  <c r="Y89" i="6"/>
  <c r="X89" i="6"/>
  <c r="W89" i="6"/>
  <c r="V89" i="6"/>
  <c r="U89" i="6"/>
  <c r="T89" i="6"/>
  <c r="S89" i="6"/>
  <c r="R89" i="6"/>
  <c r="Q89" i="6"/>
  <c r="P89" i="6"/>
  <c r="N89" i="6"/>
  <c r="D104" i="6"/>
  <c r="M89" i="6"/>
  <c r="O89" i="6"/>
  <c r="L89" i="6"/>
  <c r="K89" i="6"/>
  <c r="J89" i="6"/>
  <c r="H89" i="6"/>
  <c r="I89" i="6"/>
  <c r="G89" i="6"/>
  <c r="F89" i="6"/>
  <c r="E89" i="6"/>
  <c r="D89" i="6"/>
  <c r="C89" i="6"/>
  <c r="C104" i="6"/>
  <c r="C105" i="6" s="1"/>
  <c r="AL89" i="6"/>
  <c r="AL97" i="6"/>
  <c r="AK97" i="5"/>
  <c r="D22" i="2"/>
  <c r="C22" i="2"/>
  <c r="AL92" i="5"/>
  <c r="AL94" i="5" s="1"/>
  <c r="E22" i="2"/>
  <c r="C39" i="2"/>
  <c r="C38" i="2"/>
  <c r="E23" i="2"/>
  <c r="E21" i="3"/>
  <c r="E28" i="2"/>
  <c r="C28" i="2"/>
  <c r="D28" i="2"/>
  <c r="AL69" i="5"/>
  <c r="AL70" i="5" s="1"/>
  <c r="AJ89" i="6"/>
  <c r="AI89" i="6"/>
  <c r="AH89" i="6"/>
  <c r="AK89" i="6"/>
  <c r="D105" i="6" l="1"/>
  <c r="C106" i="6"/>
  <c r="X96" i="6" s="1"/>
  <c r="X97" i="6" s="1"/>
  <c r="X98" i="6" s="1"/>
  <c r="E26" i="2"/>
  <c r="D26" i="2"/>
  <c r="C26" i="2"/>
  <c r="AL87" i="5"/>
  <c r="D44" i="2"/>
  <c r="E105" i="6" l="1"/>
  <c r="E106" i="6" s="1"/>
  <c r="D106" i="6"/>
  <c r="AJ96" i="6" s="1"/>
  <c r="AJ97" i="6" s="1"/>
  <c r="X99" i="6"/>
  <c r="Y98" i="6"/>
  <c r="AL88" i="5"/>
  <c r="E29" i="2"/>
  <c r="D29" i="2"/>
  <c r="C29" i="2"/>
  <c r="Z98" i="6" l="1"/>
  <c r="Y99" i="6"/>
  <c r="AL97" i="5"/>
  <c r="AL89" i="5"/>
  <c r="C104" i="5"/>
  <c r="C105" i="5" s="1"/>
  <c r="C30" i="2"/>
  <c r="C89" i="5"/>
  <c r="D89" i="5"/>
  <c r="E89" i="5"/>
  <c r="G89" i="5"/>
  <c r="F89" i="5"/>
  <c r="H89" i="5"/>
  <c r="I89" i="5"/>
  <c r="J89" i="5"/>
  <c r="L89" i="5"/>
  <c r="K89" i="5"/>
  <c r="M89" i="5"/>
  <c r="N89" i="5"/>
  <c r="O89" i="5"/>
  <c r="D30" i="2"/>
  <c r="D104" i="5"/>
  <c r="Q89" i="5"/>
  <c r="P89" i="5"/>
  <c r="T89" i="5"/>
  <c r="R89" i="5"/>
  <c r="S89" i="5"/>
  <c r="U89" i="5"/>
  <c r="V89" i="5"/>
  <c r="W89" i="5"/>
  <c r="X89" i="5"/>
  <c r="Y89" i="5"/>
  <c r="Z89" i="5"/>
  <c r="AA89" i="5"/>
  <c r="E30" i="2"/>
  <c r="E104" i="5"/>
  <c r="AB89" i="5"/>
  <c r="AC89" i="5"/>
  <c r="AE89" i="5"/>
  <c r="AF89" i="5"/>
  <c r="AD89" i="5"/>
  <c r="AG89" i="5"/>
  <c r="AH89" i="5"/>
  <c r="AI89" i="5"/>
  <c r="AK89" i="5"/>
  <c r="AJ89" i="5"/>
  <c r="AA98" i="6" l="1"/>
  <c r="Z99" i="6"/>
  <c r="D105" i="5"/>
  <c r="C106" i="5"/>
  <c r="C44" i="2"/>
  <c r="AB98" i="6" l="1"/>
  <c r="AA99" i="6"/>
  <c r="E105" i="5"/>
  <c r="E106" i="5" s="1"/>
  <c r="E31" i="2" s="1"/>
  <c r="D106" i="5"/>
  <c r="C31" i="2"/>
  <c r="X96" i="5"/>
  <c r="X97" i="5" s="1"/>
  <c r="X98" i="5" s="1"/>
  <c r="AC98" i="6" l="1"/>
  <c r="AB99" i="6"/>
  <c r="D31" i="2"/>
  <c r="AJ96" i="5"/>
  <c r="AJ97" i="5" s="1"/>
  <c r="X99" i="5"/>
  <c r="Y98" i="5"/>
  <c r="AD98" i="6" l="1"/>
  <c r="AC99" i="6"/>
  <c r="Z98" i="5"/>
  <c r="Y99" i="5"/>
  <c r="AE98" i="6" l="1"/>
  <c r="AD99" i="6"/>
  <c r="AA98" i="5"/>
  <c r="Z99" i="5"/>
  <c r="AF98" i="6" l="1"/>
  <c r="AE99" i="6"/>
  <c r="AB98" i="5"/>
  <c r="AA99" i="5"/>
  <c r="D35" i="2"/>
  <c r="D34" i="2"/>
  <c r="AG98" i="6" l="1"/>
  <c r="AF99" i="6"/>
  <c r="AC98" i="5"/>
  <c r="AB99" i="5"/>
  <c r="AH98" i="6" l="1"/>
  <c r="AG99" i="6"/>
  <c r="AD98" i="5"/>
  <c r="AC99" i="5"/>
  <c r="AI98" i="6" l="1"/>
  <c r="AH99" i="6"/>
  <c r="AE98" i="5"/>
  <c r="AD99" i="5"/>
  <c r="AJ98" i="6" l="1"/>
  <c r="AI99" i="6"/>
  <c r="AF98" i="5"/>
  <c r="AE99" i="5"/>
  <c r="AK98" i="6" l="1"/>
  <c r="AJ99" i="6"/>
  <c r="AG98" i="5"/>
  <c r="AF99" i="5"/>
  <c r="AL98" i="6" l="1"/>
  <c r="AK99" i="6"/>
  <c r="AH98" i="5"/>
  <c r="AG99" i="5"/>
  <c r="D41" i="2" l="1"/>
  <c r="AL99" i="6"/>
  <c r="AH99" i="5"/>
  <c r="AI98" i="5"/>
  <c r="D42" i="2" l="1"/>
  <c r="C49" i="2"/>
  <c r="C51" i="2"/>
  <c r="D43" i="2"/>
  <c r="D45" i="2"/>
  <c r="AJ98" i="5"/>
  <c r="AI99" i="5"/>
  <c r="AJ99" i="5" l="1"/>
  <c r="AK98" i="5"/>
  <c r="AL98" i="5" l="1"/>
  <c r="AK99" i="5"/>
  <c r="C41" i="2" l="1"/>
  <c r="C42" i="2" s="1"/>
  <c r="AL99" i="5"/>
  <c r="E35" i="2" l="1"/>
  <c r="C43" i="2"/>
  <c r="E34" i="2"/>
  <c r="C45" i="2"/>
</calcChain>
</file>

<file path=xl/sharedStrings.xml><?xml version="1.0" encoding="utf-8"?>
<sst xmlns="http://schemas.openxmlformats.org/spreadsheetml/2006/main" count="602" uniqueCount="383">
  <si>
    <t>Harla — 3-Year Financial Model (pilot-led, Growth + Enterprise)</t>
  </si>
  <si>
    <t>How it works</t>
  </si>
  <si>
    <t>Inputs on Assumptions drive everything: market size → engagement → pilots → conversions → accounts → revenue.</t>
  </si>
  <si>
    <t>Costs follow from the same drivers: sales headcount from conversation volume, customer success from account load,</t>
  </si>
  <si>
    <t>pilot delivery per pilot, AI costs per account, plus employer NI, pension, commission, VAT and corporation tax.</t>
  </si>
  <si>
    <t>Sheets</t>
  </si>
  <si>
    <t>Summary — annual results, base vs 6-month Enterprise delay, and the raise needed to keep a minimum cash buffer.</t>
  </si>
  <si>
    <t>Milestones — ARR to Year 5 (Years 4–5 are venture-path targets), ARR milestone dates, funding path and implied investor returns.</t>
  </si>
  <si>
    <t>Assumptions — every input, with units and sources. Edit blue cells only; yellow cells are the main levers.</t>
  </si>
  <si>
    <t>Model — monthly base case (36 months).</t>
  </si>
  <si>
    <t>Model – Delay — the same model with all Enterprise and large-deal wins delayed (stress case).</t>
  </si>
  <si>
    <t>Conventions</t>
  </si>
  <si>
    <t>Blue = input. Black = formula. Green = link to another sheet. Yellow = key lever.</t>
  </si>
  <si>
    <t>All counts (conversations, pilots, conversions, accounts, churn) are whole numbers. Hidden calc rows hold the expected values; counts are rounded on a cumulative basis so totals and churn are not lost to rounding.</t>
  </si>
  <si>
    <t>Revenue is recognised and collected monthly (conservative). Annual billing in advance would improve cash.</t>
  </si>
  <si>
    <t>Excluded: R&amp;D tax credits, add-on revenue, Year 3 corporation tax payment (falls after M36).</t>
  </si>
  <si>
    <t>AI and infrastructure costs are set per account and per onboarding on the Assumptions sheet.</t>
  </si>
  <si>
    <t>Harla — Summary</t>
  </si>
  <si>
    <t>All figures flow from the Assumptions sheet. Base case unless stated.</t>
  </si>
  <si>
    <t>FUNNEL</t>
  </si>
  <si>
    <t>Year 1</t>
  </si>
  <si>
    <t>Year 2</t>
  </si>
  <si>
    <t>Year 3</t>
  </si>
  <si>
    <t>Qualified conversations</t>
  </si>
  <si>
    <t>Pilots started</t>
  </si>
  <si>
    <t>Pilot conversions</t>
  </si>
  <si>
    <t>Sales headcount (year end)</t>
  </si>
  <si>
    <t>Customer success headcount (year end)</t>
  </si>
  <si>
    <t>ACCOUNTS (year end)</t>
  </si>
  <si>
    <t>Growth — active</t>
  </si>
  <si>
    <t>Enterprise — active</t>
  </si>
  <si>
    <t>Large deals — active</t>
  </si>
  <si>
    <t>Paid accounts — total</t>
  </si>
  <si>
    <t>REVENUE (£)</t>
  </si>
  <si>
    <t>Pilot fees (net of credits)</t>
  </si>
  <si>
    <t>Growth</t>
  </si>
  <si>
    <t>Enterprise</t>
  </si>
  <si>
    <t>Large deals</t>
  </si>
  <si>
    <t>Total revenue</t>
  </si>
  <si>
    <t>Exit ARR</t>
  </si>
  <si>
    <t>COSTS &amp; PROFIT (£)</t>
  </si>
  <si>
    <t>Team costs</t>
  </si>
  <si>
    <t>Delivery &amp; platform</t>
  </si>
  <si>
    <t>Other operating</t>
  </si>
  <si>
    <t>Total operating costs</t>
  </si>
  <si>
    <t>Operating profit (EBITDA)</t>
  </si>
  <si>
    <t>Corporation tax charge</t>
  </si>
  <si>
    <t>CASH (£)</t>
  </si>
  <si>
    <t>Cash balance (year end)</t>
  </si>
  <si>
    <t>Lowest cash in year</t>
  </si>
  <si>
    <t>SCENARIOS</t>
  </si>
  <si>
    <t>Base</t>
  </si>
  <si>
    <t>6-month Enterprise delay</t>
  </si>
  <si>
    <t>Exit ARR (M36)</t>
  </si>
  <si>
    <t>Year 3 revenue</t>
  </si>
  <si>
    <t>Enterprise accounts (M36)</t>
  </si>
  <si>
    <t>Lowest cumulative cash flow before funding</t>
  </si>
  <si>
    <t xml:space="preserve">  in month</t>
  </si>
  <si>
    <t>Lowest cash balance (with raise)</t>
  </si>
  <si>
    <t>Operating profit from month (sustained)</t>
  </si>
  <si>
    <t>Cash balance at M36</t>
  </si>
  <si>
    <t>RAISE SIZING</t>
  </si>
  <si>
    <t>£</t>
  </si>
  <si>
    <t>Minimum cash buffer required</t>
  </si>
  <si>
    <t>Lowest cumulative cash flow — stress case</t>
  </si>
  <si>
    <t>Existing cash</t>
  </si>
  <si>
    <t>Required raise (rounded up)</t>
  </si>
  <si>
    <t>Raise used in model</t>
  </si>
  <si>
    <t>Market check</t>
  </si>
  <si>
    <t>Paid accounts at M36 as % of core market</t>
  </si>
  <si>
    <t>Qualified conversations over 3 years</t>
  </si>
  <si>
    <t>Harla — Revenue Milestones and Investor Path (Years 1–5)</t>
  </si>
  <si>
    <t>Years 1–3 link to the Model sheet. Years 3–5 are venture-path ARR targets, funded by a seed round from M21. Funding benchmarks are rules of thumb.</t>
  </si>
  <si>
    <t>INPUTS</t>
  </si>
  <si>
    <t>Model Month 1 (calendar)</t>
  </si>
  <si>
    <t>ARR multiple at Year 5</t>
  </si>
  <si>
    <t>Pre-seed post-money valuation</t>
  </si>
  <si>
    <t>Seed round — target month</t>
  </si>
  <si>
    <t>Seed round — size</t>
  </si>
  <si>
    <t>Seed round — dilution</t>
  </si>
  <si>
    <t>Series A (Year 4) — dilution</t>
  </si>
  <si>
    <t>EXIT ARR BY YEAR</t>
  </si>
  <si>
    <t>Year 4</t>
  </si>
  <si>
    <t>Year 5</t>
  </si>
  <si>
    <t xml:space="preserve">  growth multiple on prior year</t>
  </si>
  <si>
    <t xml:space="preserve">  source</t>
  </si>
  <si>
    <t>Model</t>
  </si>
  <si>
    <t>Target</t>
  </si>
  <si>
    <t>Year 3 in the £600k model without seed (reference)</t>
  </si>
  <si>
    <t>Years 3–5 need the seed round from M21: the £600k cost base alone reaches about £2.2m ARR in Year 3.</t>
  </si>
  <si>
    <t>ARR MILESTONES (from the Model sheet)</t>
  </si>
  <si>
    <t>Month</t>
  </si>
  <si>
    <t>Calendar</t>
  </si>
  <si>
    <t>First month at £500k ARR</t>
  </si>
  <si>
    <t>First month at £1m ARR</t>
  </si>
  <si>
    <t>First month at £2m ARR</t>
  </si>
  <si>
    <t>FUNDING PATH (rules of thumb, UK/EU B2B SaaS)</t>
  </si>
  <si>
    <t>Pre-seed (now)</t>
  </si>
  <si>
    <t>Seed (~M21)</t>
  </si>
  <si>
    <t>Typically ~£0.5–1.5m ARR, proven conversion, repeatable sales. Funds the Year 4 acceleration</t>
  </si>
  <si>
    <t>Series A (Year 4)</t>
  </si>
  <si>
    <t>Typically ~£2–4m ARR, growing 2–3x a year</t>
  </si>
  <si>
    <t>Series B (Year 5+)</t>
  </si>
  <si>
    <t>Typically ~£8–15m ARR, growing ~2x a year</t>
  </si>
  <si>
    <t>ARR at seed target month (model)</t>
  </si>
  <si>
    <t>IMPLIED YEAR 5 OUTCOME FOR PRE-SEED INVESTORS</t>
  </si>
  <si>
    <t>Year 5 valuation (exit ARR x multiple)</t>
  </si>
  <si>
    <t>Pre-seed stake at raise</t>
  </si>
  <si>
    <t>Pre-seed stake after seed and Series A</t>
  </si>
  <si>
    <t>Value of the pre-seed stake</t>
  </si>
  <si>
    <t>Return multiple on the raise</t>
  </si>
  <si>
    <t>Harla — Financial Model Assumptions</t>
  </si>
  <si>
    <t>Blue = input (edit). Black = formula. Yellow = key lever. All £, monthly unless stated.</t>
  </si>
  <si>
    <t>Assumption</t>
  </si>
  <si>
    <t>Value</t>
  </si>
  <si>
    <t>Unit</t>
  </si>
  <si>
    <t>Source / note</t>
  </si>
  <si>
    <t>MARKET</t>
  </si>
  <si>
    <t>Total market — UK property organisations</t>
  </si>
  <si>
    <t>orgs</t>
  </si>
  <si>
    <t>Bottom-up: estate agents (SIC 68.31) and property managers (SIC 68.32) ~46,500, plus surveying and property law firms. IBISWorld, RICS, SRA.</t>
  </si>
  <si>
    <t>Core market — commercial property firms (Growth target)</t>
  </si>
  <si>
    <t>Commercial agents, property managers, surveyors and property law firms (~25,000–27,000 firms). Drives engagement volume.</t>
  </si>
  <si>
    <t>Institutional segment — institutions, REITs, large managing groups</t>
  </si>
  <si>
    <t>~165 REITs plus institutional fund managers and the largest managing groups (~300–500). Source of the large deals.</t>
  </si>
  <si>
    <t>Share of core market engaged over 3 years</t>
  </si>
  <si>
    <t>%</t>
  </si>
  <si>
    <t>Qualified conversation or demo.</t>
  </si>
  <si>
    <t>Engagement phasing — Year 1</t>
  </si>
  <si>
    <t>% of total</t>
  </si>
  <si>
    <t>Engagement phasing — Year 2</t>
  </si>
  <si>
    <t>Engagement phasing — Year 3</t>
  </si>
  <si>
    <t>Y1–Y3 should sum to 100%. Y1 kept low: founder-led sales until the first hire.</t>
  </si>
  <si>
    <t>Engaged prospects who start a paid pilot</t>
  </si>
  <si>
    <t>Paid £10k pilot with agreed success criteria and a named sponsor.</t>
  </si>
  <si>
    <t>Pilot length (months to conversion decision)</t>
  </si>
  <si>
    <t>months</t>
  </si>
  <si>
    <t>Fixed-term pilot ending in a decision meeting.</t>
  </si>
  <si>
    <t>Pilot conversion rate</t>
  </si>
  <si>
    <t>Base case. Rests on the pilot design: agreed success criteria, a named sponsor and the fee credited on conversion.</t>
  </si>
  <si>
    <t>Share of pilot conversions going to Enterprise</t>
  </si>
  <si>
    <t>Remainder convert to Growth.</t>
  </si>
  <si>
    <t>Engaged prospects buying Growth directly (no pilot)</t>
  </si>
  <si>
    <t>Growth is mostly a direct sale.</t>
  </si>
  <si>
    <t>Direct Enterprise deals (no pilot) — Year 1</t>
  </si>
  <si>
    <t>deals</t>
  </si>
  <si>
    <t>Direct Enterprise deals (no pilot) — Year 2</t>
  </si>
  <si>
    <t>Direct Enterprise deals (no pilot) — Year 3</t>
  </si>
  <si>
    <t>Pilots already running at Month 0</t>
  </si>
  <si>
    <t>pilots</t>
  </si>
  <si>
    <t>6 pilots at M0. They convert at the pilot conversion rate when the pilot length ends.</t>
  </si>
  <si>
    <t xml:space="preserve">  of which paying</t>
  </si>
  <si>
    <t>4 of 6 pay the £10k fee at M0, booked as revenue in M1. Only paid pilots get the fee credit on conversion.</t>
  </si>
  <si>
    <t>PRICING</t>
  </si>
  <si>
    <t>Pilot fee</t>
  </si>
  <si>
    <t>£ one-off</t>
  </si>
  <si>
    <t>Recognised in the month the pilot starts.</t>
  </si>
  <si>
    <t>Credit pilot fee against year one on conversion? (1 = yes, 0 = no)</t>
  </si>
  <si>
    <t>flag</t>
  </si>
  <si>
    <t>Recommended to support conversion. Booked as a one-off revenue reduction at conversion.</t>
  </si>
  <si>
    <t>Growth ACV</t>
  </si>
  <si>
    <t>£/year</t>
  </si>
  <si>
    <t>Midpoint of the £15–25k range.</t>
  </si>
  <si>
    <t>Enterprise ACV</t>
  </si>
  <si>
    <t>"From £45k".</t>
  </si>
  <si>
    <t>Large deal 1 — ACV</t>
  </si>
  <si>
    <t>Target: £120k deal in Year 2. Additional to Enterprise count.</t>
  </si>
  <si>
    <t>Large deal 1 — landing month</t>
  </si>
  <si>
    <t>month</t>
  </si>
  <si>
    <t>Large deal 2 — ACV</t>
  </si>
  <si>
    <t>Target: £200k deal in Year 3. Additional to Enterprise count.</t>
  </si>
  <si>
    <t>Large deal 2 — landing month</t>
  </si>
  <si>
    <t>CHURN</t>
  </si>
  <si>
    <t>Growth annual churn</t>
  </si>
  <si>
    <t>%/year</t>
  </si>
  <si>
    <t>Enterprise annual churn</t>
  </si>
  <si>
    <t>Large deals assumed not to churn within 36 months.</t>
  </si>
  <si>
    <t>Growth monthly churn (derived)</t>
  </si>
  <si>
    <t>%/month</t>
  </si>
  <si>
    <t>Formula.</t>
  </si>
  <si>
    <t>Enterprise monthly churn (derived)</t>
  </si>
  <si>
    <t>TEAM &amp; SALES CAPACITY</t>
  </si>
  <si>
    <t>Core team salary — each (CEO, developer, engineer)</t>
  </si>
  <si>
    <t>Equal pay for the CEO and two engineering hires.</t>
  </si>
  <si>
    <t>Core team headcount</t>
  </si>
  <si>
    <t>people</t>
  </si>
  <si>
    <t>George (CEO), developer, engineer.</t>
  </si>
  <si>
    <t>Associate salary</t>
  </si>
  <si>
    <t>More junior role.</t>
  </si>
  <si>
    <t>Associate headcount</t>
  </si>
  <si>
    <t>Founding team start month</t>
  </si>
  <si>
    <t>All four on payroll from M1. The external hires need offers made before the raise closes.</t>
  </si>
  <si>
    <t>Recruitment cost — one-off</t>
  </si>
  <si>
    <t>Direct hiring through own network. An agency would cost about £20k for the two hires.</t>
  </si>
  <si>
    <t>First sales hire — start month</t>
  </si>
  <si>
    <t>Founder-led sales before this.</t>
  </si>
  <si>
    <t>Founder sales capacity</t>
  </si>
  <si>
    <t>conversations/month</t>
  </si>
  <si>
    <t>Qualified conversations the founder can run alongside other duties.</t>
  </si>
  <si>
    <t>Sales capacity per salesperson</t>
  </si>
  <si>
    <t>~3–4 qualified conversations a week. Headcount = demand above founder capacity ÷ this, rounded up.</t>
  </si>
  <si>
    <t>Salesperson base salary</t>
  </si>
  <si>
    <t>Sales commission</t>
  </si>
  <si>
    <t>% of first-year ACV</t>
  </si>
  <si>
    <t>Paid in the month a paid account is won.</t>
  </si>
  <si>
    <t>Customer success — first hire when Enterprise accounts reach</t>
  </si>
  <si>
    <t>accounts</t>
  </si>
  <si>
    <t>Accounts per CS person (Enterprise-equivalent)</t>
  </si>
  <si>
    <t>Growth account weighting for CS load</t>
  </si>
  <si>
    <t>x Enterprise</t>
  </si>
  <si>
    <t>Large deal weighting for CS load</t>
  </si>
  <si>
    <t>CS salary</t>
  </si>
  <si>
    <t>EMPLOYMENT COSTS</t>
  </si>
  <si>
    <t>Employer NI rate</t>
  </si>
  <si>
    <t>2025/26 rate.</t>
  </si>
  <si>
    <t>Employer NI secondary threshold</t>
  </si>
  <si>
    <t>£/year per employee</t>
  </si>
  <si>
    <t>2025/26 threshold.</t>
  </si>
  <si>
    <t>Employment Allowance</t>
  </si>
  <si>
    <t>2025/26.</t>
  </si>
  <si>
    <t>Employer pension contribution</t>
  </si>
  <si>
    <t>% of salary</t>
  </si>
  <si>
    <t>Auto-enrolment minimum, simplified to full salary.</t>
  </si>
  <si>
    <t>DELIVERY &amp; PLATFORM</t>
  </si>
  <si>
    <t>Pilot delivery cost per pilot</t>
  </si>
  <si>
    <t>£ per pilot</t>
  </si>
  <si>
    <t>Setup and support time per pilot.</t>
  </si>
  <si>
    <t>AI &amp; infrastructure — fixed base</t>
  </si>
  <si>
    <t>£/month</t>
  </si>
  <si>
    <t>Fixed monthly cost.</t>
  </si>
  <si>
    <t>AI &amp; infrastructure — per Growth account</t>
  </si>
  <si>
    <t>Ongoing extraction and queries.</t>
  </si>
  <si>
    <t>AI &amp; infrastructure — per Enterprise account</t>
  </si>
  <si>
    <t>Larger portfolios and usage.</t>
  </si>
  <si>
    <t>AI &amp; infrastructure — per large-deal account</t>
  </si>
  <si>
    <t>Largest portfolios and usage.</t>
  </si>
  <si>
    <t>AI onboarding (document ingestion) — per new Growth</t>
  </si>
  <si>
    <t>~300 leases x 5 docs x ~£0.50/doc.</t>
  </si>
  <si>
    <t>AI onboarding — per new Enterprise</t>
  </si>
  <si>
    <t>~2,000 leases x 5 docs x ~£0.50/doc.</t>
  </si>
  <si>
    <t>AI onboarding — per new large deal</t>
  </si>
  <si>
    <t>OTHER OPERATING COSTS</t>
  </si>
  <si>
    <t>Professional services (bookkeeping, accountant, legal, cyber)</t>
  </si>
  <si>
    <t>Marketing — base (content, digital, hospitality)</t>
  </si>
  <si>
    <t>Events are budgeted separately below.</t>
  </si>
  <si>
    <t>Sales travel and client meetings — per salesperson</t>
  </si>
  <si>
    <t>Domestic travel to prospects and pilots.</t>
  </si>
  <si>
    <t>Office</t>
  </si>
  <si>
    <t>Apps &amp; subscriptions — base</t>
  </si>
  <si>
    <t>Hardware — base</t>
  </si>
  <si>
    <t>Apps &amp; hardware — per new hire</t>
  </si>
  <si>
    <t>EVENTS PROGRAMME (one person)</t>
  </si>
  <si>
    <t>Model Month 1 = calendar month (reference)</t>
  </si>
  <si>
    <t>Jan 2027</t>
  </si>
  <si>
    <t>text</t>
  </si>
  <si>
    <t>Assumed. Moves the event months if the start date changes.</t>
  </si>
  <si>
    <t>Repeat the event programme in Years 2 and 3? (1 = yes, 0 = no)</t>
  </si>
  <si>
    <t>Same events, same months each year.</t>
  </si>
  <si>
    <t>RETCON (USA) — model month</t>
  </si>
  <si>
    <t>RETCON (USA) — cost (one person)</t>
  </si>
  <si>
    <t>£ per event</t>
  </si>
  <si>
    <t>Pass, travel and hotel for one person.</t>
  </si>
  <si>
    <t>MIPIM (Cannes) — model month</t>
  </si>
  <si>
    <t>MIPIM (Cannes) — cost (one person)</t>
  </si>
  <si>
    <t>Future PropTech / London PropTech Show — model month</t>
  </si>
  <si>
    <t>Future PropTech / London PropTech Show — cost (one person)</t>
  </si>
  <si>
    <t>ICSC Las Vegas + ICSC+PROPTECH — model month</t>
  </si>
  <si>
    <t>ICSC Las Vegas + ICSC+PROPTECH — cost (one person)</t>
  </si>
  <si>
    <t>UKREiiF (Leeds) — model month</t>
  </si>
  <si>
    <t>UKREiiF (Leeds) — cost (one person)</t>
  </si>
  <si>
    <t>Proptech Expo with Provada (Amsterdam) — model month</t>
  </si>
  <si>
    <t>Proptech Expo with Provada (Amsterdam) — cost (one person)</t>
  </si>
  <si>
    <t>Blueprint Vegas — model month</t>
  </si>
  <si>
    <t>Blueprint Vegas — cost (one person)</t>
  </si>
  <si>
    <t>Expo Real (Munich) — model month</t>
  </si>
  <si>
    <t>Expo Real (Munich) — cost (one person)</t>
  </si>
  <si>
    <t>TAX</t>
  </si>
  <si>
    <t>VAT rate</t>
  </si>
  <si>
    <t>Charged on all revenue (B2B, UK).</t>
  </si>
  <si>
    <t>Share of non-payroll costs carrying VAT</t>
  </si>
  <si>
    <t>Corporation tax rate</t>
  </si>
  <si>
    <t>Main rate; losses carried forward. R&amp;D tax credits excluded (upside).</t>
  </si>
  <si>
    <t>Corporation tax paid — months after year end</t>
  </si>
  <si>
    <t>Due 9 months and 1 day after year end. Year 3 tax falls after M36.</t>
  </si>
  <si>
    <t>FUNDING &amp; SCENARIOS</t>
  </si>
  <si>
    <t>Existing cash before the raise</t>
  </si>
  <si>
    <t>Minimum cash buffer required (stress case)</t>
  </si>
  <si>
    <t>Cash kept above this in the stress case.</t>
  </si>
  <si>
    <t>Enterprise delay — base case</t>
  </si>
  <si>
    <t>Used by the "Model" sheet.</t>
  </si>
  <si>
    <t>Enterprise delay — stress case</t>
  </si>
  <si>
    <t>Used by the "Model – Delay" sheet. Delays all Enterprise and large-deal wins.</t>
  </si>
  <si>
    <t>Round raise up to nearest</t>
  </si>
  <si>
    <t>Raise override (0 = use required raise)</t>
  </si>
  <si>
    <t>Set to the planned £600k raise. Enter 0 to use the required raise from the Summary sheet.</t>
  </si>
  <si>
    <t>Formula: required raise from the Summary sheet unless overridden.</t>
  </si>
  <si>
    <t>Harla — Monthly Model (base case)</t>
  </si>
  <si>
    <t>TIMELINE</t>
  </si>
  <si>
    <t>Year</t>
  </si>
  <si>
    <t>FUNNEL (whole numbers)</t>
  </si>
  <si>
    <t xml:space="preserve">  calc: Expected conversations</t>
  </si>
  <si>
    <t xml:space="preserve">  calc: Cumulative expected conversations</t>
  </si>
  <si>
    <t>Engaged — qualified conversations</t>
  </si>
  <si>
    <t xml:space="preserve">  calc: Expected pilots</t>
  </si>
  <si>
    <t xml:space="preserve">  calc: Cumulative expected pilots</t>
  </si>
  <si>
    <t>Pilots completing (incl. M0 pilots)</t>
  </si>
  <si>
    <t xml:space="preserve">  calc: Expected conversions</t>
  </si>
  <si>
    <t xml:space="preserve">  calc: Cumulative expected conversions</t>
  </si>
  <si>
    <t xml:space="preserve">  calc: Expected conversions to Enterprise</t>
  </si>
  <si>
    <t xml:space="preserve">  calc: Cumulative expected to Enterprise</t>
  </si>
  <si>
    <t xml:space="preserve">  to Enterprise</t>
  </si>
  <si>
    <t xml:space="preserve">  to Growth</t>
  </si>
  <si>
    <t xml:space="preserve">  calc: Expected direct Growth deals</t>
  </si>
  <si>
    <t xml:space="preserve">  calc: Cumulative expected direct Growth</t>
  </si>
  <si>
    <t>Direct Growth deals</t>
  </si>
  <si>
    <t xml:space="preserve">  calc: Expected direct Enterprise deals</t>
  </si>
  <si>
    <t xml:space="preserve">  calc: Cumulative expected direct Enterprise</t>
  </si>
  <si>
    <t>Direct Enterprise deals</t>
  </si>
  <si>
    <t>New Growth accounts</t>
  </si>
  <si>
    <t>New Enterprise accounts (before delay)</t>
  </si>
  <si>
    <t>New Enterprise accounts (after delay)</t>
  </si>
  <si>
    <t>ACTIVE ACCOUNTS (whole numbers)</t>
  </si>
  <si>
    <t xml:space="preserve">  calc: Expected Growth churn</t>
  </si>
  <si>
    <t xml:space="preserve">  calc: Cumulative expected Growth churn</t>
  </si>
  <si>
    <t>Growth accounts lost (churn)</t>
  </si>
  <si>
    <t xml:space="preserve">  calc: Expected Enterprise churn</t>
  </si>
  <si>
    <t xml:space="preserve">  calc: Cumulative expected Enterprise churn</t>
  </si>
  <si>
    <t>Enterprise accounts lost (churn)</t>
  </si>
  <si>
    <t>Large deal 1 — active</t>
  </si>
  <si>
    <t>Large deal 2 — active</t>
  </si>
  <si>
    <t>Large deal 1 — won this month</t>
  </si>
  <si>
    <t>Large deal 2 — won this month</t>
  </si>
  <si>
    <t>Pilot fees (incl. M0 pilots, booked in M1)</t>
  </si>
  <si>
    <t>Pilot fee credits on conversion</t>
  </si>
  <si>
    <t>Recurring revenue (MRR)</t>
  </si>
  <si>
    <t>ARR</t>
  </si>
  <si>
    <t>TEAM COSTS (£)</t>
  </si>
  <si>
    <t>Founding team salaries (CEO, developer, engineer, associate)</t>
  </si>
  <si>
    <t>Recruitment</t>
  </si>
  <si>
    <t>Sales headcount</t>
  </si>
  <si>
    <t>Sales capacity headroom (conversations/month)</t>
  </si>
  <si>
    <t>Sales salaries</t>
  </si>
  <si>
    <t>Customer success headcount</t>
  </si>
  <si>
    <t>Customer success salaries</t>
  </si>
  <si>
    <t>Employer NI (after Employment Allowance)</t>
  </si>
  <si>
    <t>Employer pension</t>
  </si>
  <si>
    <t>Total team costs</t>
  </si>
  <si>
    <t>DELIVERY &amp; PLATFORM (£)</t>
  </si>
  <si>
    <t>Pilot delivery</t>
  </si>
  <si>
    <t>AI &amp; infrastructure — base</t>
  </si>
  <si>
    <t>AI &amp; infrastructure — per account</t>
  </si>
  <si>
    <t>AI onboarding — new accounts</t>
  </si>
  <si>
    <t>Total delivery &amp; platform</t>
  </si>
  <si>
    <t>OTHER OPERATING COSTS (£)</t>
  </si>
  <si>
    <t>Professional services</t>
  </si>
  <si>
    <t>Marketing</t>
  </si>
  <si>
    <t>Events programme (one person)</t>
  </si>
  <si>
    <t>Office, apps &amp; hardware</t>
  </si>
  <si>
    <t>Total other operating</t>
  </si>
  <si>
    <t>PROFIT (£)</t>
  </si>
  <si>
    <t>Helper: month if operating profit stays ≥ 0 from here</t>
  </si>
  <si>
    <t>VAT collected on sales</t>
  </si>
  <si>
    <t>VAT paid on purchases</t>
  </si>
  <si>
    <t>Net VAT owed (accrued)</t>
  </si>
  <si>
    <t>VAT paid to HMRC (quarterly)</t>
  </si>
  <si>
    <t>Corporation tax paid</t>
  </si>
  <si>
    <t>Net cash flow (before funding)</t>
  </si>
  <si>
    <t>Cumulative cash flow (before funding)</t>
  </si>
  <si>
    <t>Cash balance (incl. raise)</t>
  </si>
  <si>
    <t>CORPORATION TAX (annual)</t>
  </si>
  <si>
    <t>Operating profit for the year</t>
  </si>
  <si>
    <t>Cumulative operating profit</t>
  </si>
  <si>
    <t>Corporation tax charge (losses carried forward)</t>
  </si>
  <si>
    <t>Year 3 tax is paid after Month 36, so it is a charge in the Summary but not a cash outflow in this window.</t>
  </si>
  <si>
    <t>Harla — Monthly Model (stress: Enterprise delay)</t>
  </si>
  <si>
    <t>Year 3 ARR target (with seed from M21)</t>
  </si>
  <si>
    <t>Year 4 ARR target</t>
  </si>
  <si>
    <t>Year 5 ARR target</t>
  </si>
  <si>
    <t>Lands in M19 (fixed in the Model sheet, row 29).</t>
  </si>
  <si>
    <t>Land in M27 and M33 (fixed in the Model sheet, row 29).</t>
  </si>
  <si>
    <t>EMI option pool (carved from the founder's shares; investors not diluted)</t>
  </si>
  <si>
    <t>£600k at £3.6m post (16.7%). The 10% EMI pool comes from the founder's shares, so investors keep 16.7%. Funds the plan to sustained operating profit from M19</t>
  </si>
  <si>
    <t>Pre-seed stake after the option pool (pool from founder shares)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</si>
</sst>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;\(#,##0\);\-"/>
    <numFmt numFmtId="165" formatCode="\£#,##0;&quot;(£&quot;#,##0\);\-"/>
    <numFmt numFmtId="166" formatCode="mmm\ yyyy"/>
    <numFmt numFmtId="167" formatCode="0.0\x"/>
    <numFmt numFmtId="168" formatCode="0.0%;\(0.0%\);\-"/>
    <numFmt numFmtId="169" formatCode="0.0%"/>
    <numFmt numFmtId="170" formatCode="0.0"/>
  </numFmts>
  <fonts count="12" x14ac:knownFonts="1">
    <font>
      <sz val="11"/>
      <color theme="1"/>
      <name val="Calibri"/>
      <family val="2"/>
      <charset val="1"/>
    </font>
    <font>
      <b/>
      <sz val="14"/>
      <name val="Arial"/>
      <charset val="1"/>
    </font>
    <font>
      <sz val="10"/>
      <name val="Arial"/>
      <charset val="1"/>
    </font>
    <font>
      <b/>
      <sz val="10"/>
      <name val="Arial"/>
      <charset val="1"/>
    </font>
    <font>
      <i/>
      <sz val="9"/>
      <name val="Arial"/>
      <charset val="1"/>
    </font>
    <font>
      <b/>
      <sz val="10"/>
      <color rgb="FFFFFFFF"/>
      <name val="Arial"/>
      <charset val="1"/>
    </font>
    <font>
      <sz val="10"/>
      <color rgb="FF008000"/>
      <name val="Arial"/>
      <charset val="1"/>
    </font>
    <font>
      <b/>
      <sz val="10"/>
      <color rgb="FF008000"/>
      <name val="Arial"/>
      <charset val="1"/>
    </font>
    <font>
      <sz val="10"/>
      <color rgb="FF0000FF"/>
      <name val="Arial"/>
      <charset val="1"/>
    </font>
    <font>
      <i/>
      <sz val="9"/>
      <color rgb="FF008000"/>
      <name val="Arial"/>
      <charset val="1"/>
    </font>
    <font>
      <sz val="9"/>
      <color rgb="FF555555"/>
      <name val="Arial"/>
      <charset val="1"/>
    </font>
    <font>
      <i/>
      <sz val="8"/>
      <color rgb="FF999999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FFF00"/>
        <bgColor rgb="FFFFFF00"/>
      </patternFill>
    </fill>
    <fill>
      <patternFill patternType="solid">
        <fgColor rgb="FFD9E1F2"/>
        <bgColor rgb="FFCCFFFF"/>
      </patternFill>
    </fill>
  </fills>
  <borders count="2">
    <border>
      <left/>
      <right/>
      <top/>
      <bottom/>
      <diagonal/>
    </border>
    <border>
      <left/>
      <right/>
      <top style="thin">
        <color rgb="FF999999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164" fontId="6" fillId="0" borderId="0" xfId="0" applyNumberFormat="1" applyFont="1"/>
    <xf numFmtId="1" fontId="6" fillId="0" borderId="0" xfId="0" applyNumberFormat="1" applyFont="1"/>
    <xf numFmtId="164" fontId="7" fillId="0" borderId="0" xfId="0" applyNumberFormat="1" applyFont="1"/>
    <xf numFmtId="165" fontId="6" fillId="0" borderId="0" xfId="0" applyNumberFormat="1" applyFont="1"/>
    <xf numFmtId="165" fontId="7" fillId="0" borderId="0" xfId="0" applyNumberFormat="1" applyFont="1"/>
    <xf numFmtId="165" fontId="2" fillId="0" borderId="0" xfId="0" applyNumberFormat="1" applyFont="1"/>
    <xf numFmtId="165" fontId="3" fillId="3" borderId="0" xfId="0" applyNumberFormat="1" applyFont="1" applyFill="1"/>
    <xf numFmtId="10" fontId="2" fillId="0" borderId="0" xfId="0" applyNumberFormat="1" applyFont="1"/>
    <xf numFmtId="164" fontId="2" fillId="0" borderId="0" xfId="0" applyNumberFormat="1" applyFont="1"/>
    <xf numFmtId="166" fontId="8" fillId="0" borderId="0" xfId="0" applyNumberFormat="1" applyFont="1"/>
    <xf numFmtId="165" fontId="8" fillId="3" borderId="0" xfId="0" applyNumberFormat="1" applyFont="1" applyFill="1"/>
    <xf numFmtId="167" fontId="8" fillId="0" borderId="0" xfId="0" applyNumberFormat="1" applyFont="1"/>
    <xf numFmtId="165" fontId="8" fillId="0" borderId="0" xfId="0" applyNumberFormat="1" applyFont="1"/>
    <xf numFmtId="168" fontId="8" fillId="0" borderId="0" xfId="0" applyNumberFormat="1" applyFont="1"/>
    <xf numFmtId="1" fontId="8" fillId="0" borderId="0" xfId="0" applyNumberFormat="1" applyFont="1"/>
    <xf numFmtId="167" fontId="0" fillId="0" borderId="0" xfId="0" applyNumberFormat="1"/>
    <xf numFmtId="165" fontId="9" fillId="0" borderId="0" xfId="0" applyNumberFormat="1" applyFont="1"/>
    <xf numFmtId="166" fontId="0" fillId="0" borderId="0" xfId="0" applyNumberFormat="1"/>
    <xf numFmtId="165" fontId="0" fillId="0" borderId="0" xfId="0" applyNumberFormat="1"/>
    <xf numFmtId="169" fontId="0" fillId="0" borderId="0" xfId="0" applyNumberFormat="1"/>
    <xf numFmtId="167" fontId="3" fillId="0" borderId="0" xfId="0" applyNumberFormat="1" applyFont="1"/>
    <xf numFmtId="0" fontId="3" fillId="4" borderId="0" xfId="0" applyFont="1" applyFill="1"/>
    <xf numFmtId="164" fontId="8" fillId="0" borderId="0" xfId="0" applyNumberFormat="1" applyFont="1"/>
    <xf numFmtId="0" fontId="10" fillId="0" borderId="0" xfId="0" applyFont="1"/>
    <xf numFmtId="168" fontId="8" fillId="3" borderId="0" xfId="0" applyNumberFormat="1" applyFont="1" applyFill="1"/>
    <xf numFmtId="170" fontId="8" fillId="0" borderId="0" xfId="0" applyNumberFormat="1" applyFont="1"/>
    <xf numFmtId="49" fontId="8" fillId="0" borderId="0" xfId="0" applyNumberFormat="1" applyFont="1"/>
    <xf numFmtId="1" fontId="8" fillId="3" borderId="0" xfId="0" applyNumberFormat="1" applyFont="1" applyFill="1"/>
    <xf numFmtId="0" fontId="6" fillId="0" borderId="0" xfId="0" applyFont="1"/>
    <xf numFmtId="0" fontId="2" fillId="4" borderId="0" xfId="0" applyFont="1" applyFill="1"/>
    <xf numFmtId="1" fontId="3" fillId="4" borderId="0" xfId="0" applyNumberFormat="1" applyFont="1" applyFill="1"/>
    <xf numFmtId="1" fontId="2" fillId="0" borderId="0" xfId="0" applyNumberFormat="1" applyFont="1"/>
    <xf numFmtId="0" fontId="11" fillId="0" borderId="0" xfId="0" applyFont="1"/>
    <xf numFmtId="4" fontId="11" fillId="0" borderId="0" xfId="0" applyNumberFormat="1" applyFont="1"/>
    <xf numFmtId="164" fontId="3" fillId="0" borderId="1" xfId="0" applyNumberFormat="1" applyFont="1" applyBorder="1"/>
    <xf numFmtId="165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99999"/>
      <rgbColor rgb="FF1F3864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0"/>
  <sheetViews>
    <sheetView showGridLines="0" zoomScaleNormal="100" workbookViewId="0"/>
  </sheetViews>
  <sheetFormatPr defaultColWidth="8.7109375" defaultRowHeight="15" x14ac:dyDescent="0.25"/>
  <cols>
    <col min="1" max="1" width="120" customWidth="1"/>
  </cols>
  <sheetData>
    <row r="1" spans="1:1" ht="18" x14ac:dyDescent="0.25">
      <c r="A1" s="1" t="s">
        <v>0</v>
      </c>
    </row>
    <row r="2" spans="1:1" x14ac:dyDescent="0.25">
      <c r="A2" s="2"/>
    </row>
    <row r="3" spans="1:1" x14ac:dyDescent="0.25">
      <c r="A3" s="3" t="s">
        <v>1</v>
      </c>
    </row>
    <row r="4" spans="1:1" x14ac:dyDescent="0.25">
      <c r="A4" s="2" t="s">
        <v>2</v>
      </c>
    </row>
    <row r="5" spans="1:1" x14ac:dyDescent="0.25">
      <c r="A5" s="2" t="s">
        <v>3</v>
      </c>
    </row>
    <row r="6" spans="1:1" x14ac:dyDescent="0.25">
      <c r="A6" s="2" t="s">
        <v>4</v>
      </c>
    </row>
    <row r="7" spans="1:1" x14ac:dyDescent="0.25">
      <c r="A7" s="2"/>
    </row>
    <row r="8" spans="1:1" x14ac:dyDescent="0.25">
      <c r="A8" s="3" t="s">
        <v>5</v>
      </c>
    </row>
    <row r="9" spans="1:1" x14ac:dyDescent="0.25">
      <c r="A9" s="2" t="s">
        <v>6</v>
      </c>
    </row>
    <row r="10" spans="1:1" x14ac:dyDescent="0.25">
      <c r="A10" s="2" t="s">
        <v>7</v>
      </c>
    </row>
    <row r="11" spans="1:1" x14ac:dyDescent="0.25">
      <c r="A11" s="2" t="s">
        <v>8</v>
      </c>
    </row>
    <row r="12" spans="1:1" x14ac:dyDescent="0.25">
      <c r="A12" s="2" t="s">
        <v>9</v>
      </c>
    </row>
    <row r="13" spans="1:1" x14ac:dyDescent="0.25">
      <c r="A13" s="2" t="s">
        <v>10</v>
      </c>
    </row>
    <row r="14" spans="1:1" x14ac:dyDescent="0.25">
      <c r="A14" s="2"/>
    </row>
    <row r="15" spans="1:1" x14ac:dyDescent="0.25">
      <c r="A15" s="3" t="s">
        <v>11</v>
      </c>
    </row>
    <row r="16" spans="1:1" x14ac:dyDescent="0.25">
      <c r="A16" s="2" t="s">
        <v>12</v>
      </c>
    </row>
    <row r="17" spans="1:1" x14ac:dyDescent="0.25">
      <c r="A17" s="2" t="s">
        <v>13</v>
      </c>
    </row>
    <row r="18" spans="1:1" x14ac:dyDescent="0.25">
      <c r="A18" s="2" t="s">
        <v>14</v>
      </c>
    </row>
    <row r="19" spans="1:1" x14ac:dyDescent="0.25">
      <c r="A19" s="2" t="s">
        <v>15</v>
      </c>
    </row>
    <row r="20" spans="1:1" x14ac:dyDescent="0.25">
      <c r="A20" s="2" t="s">
        <v>16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6"/>
  <sheetViews>
    <sheetView showGridLines="0" zoomScaleNormal="100" workbookViewId="0">
      <pane ySplit="3" topLeftCell="A4" activePane="bottomLeft" state="frozen"/>
      <selection pane="bottomLeft"/>
    </sheetView>
  </sheetViews>
  <sheetFormatPr defaultColWidth="8.7109375" defaultRowHeight="15" x14ac:dyDescent="0.25"/>
  <cols>
    <col min="1" max="1" width="48" customWidth="1"/>
    <col min="3" max="5" width="22" customWidth="1"/>
  </cols>
  <sheetData>
    <row r="1" spans="1:5" ht="18" x14ac:dyDescent="0.25">
      <c r="A1" s="1" t="s">
        <v>17</v>
      </c>
    </row>
    <row r="2" spans="1:5" x14ac:dyDescent="0.25">
      <c r="A2" s="4" t="s">
        <v>18</v>
      </c>
    </row>
    <row r="4" spans="1:5" x14ac:dyDescent="0.25">
      <c r="A4" s="5" t="s">
        <v>19</v>
      </c>
      <c r="B4" s="6"/>
      <c r="C4" s="5" t="s">
        <v>20</v>
      </c>
      <c r="D4" s="5" t="s">
        <v>21</v>
      </c>
      <c r="E4" s="5" t="s">
        <v>22</v>
      </c>
    </row>
    <row r="5" spans="1:5" x14ac:dyDescent="0.25">
      <c r="A5" s="2" t="s">
        <v>23</v>
      </c>
      <c r="C5" s="7">
        <f>SUMIF(Model!$C$7:$AL$7,1,Model!$C$12:$AL$12)</f>
        <v>150</v>
      </c>
      <c r="D5" s="7">
        <f>SUMIF(Model!$C$7:$AL$7,2,Model!$C$12:$AL$12)</f>
        <v>438</v>
      </c>
      <c r="E5" s="7">
        <f>SUMIF(Model!$C$7:$AL$7,3,Model!$C$12:$AL$12)</f>
        <v>662</v>
      </c>
    </row>
    <row r="6" spans="1:5" x14ac:dyDescent="0.25">
      <c r="A6" s="2" t="s">
        <v>24</v>
      </c>
      <c r="C6" s="7">
        <f>SUMIF(Model!$C$7:$AL$7,1,Model!$C$15:$AL$15)</f>
        <v>9</v>
      </c>
      <c r="D6" s="7">
        <f>SUMIF(Model!$C$7:$AL$7,2,Model!$C$15:$AL$15)</f>
        <v>26</v>
      </c>
      <c r="E6" s="7">
        <f>SUMIF(Model!$C$7:$AL$7,3,Model!$C$15:$AL$15)</f>
        <v>40</v>
      </c>
    </row>
    <row r="7" spans="1:5" x14ac:dyDescent="0.25">
      <c r="A7" s="2" t="s">
        <v>25</v>
      </c>
      <c r="C7" s="7">
        <f ca="1">SUMIF(Model!$C$7:$AL$7,1,Model!$C$19:$AL$19)</f>
        <v>7</v>
      </c>
      <c r="D7" s="7">
        <f ca="1">SUMIF(Model!$C$7:$AL$7,2,Model!$C$19:$AL$19)</f>
        <v>11</v>
      </c>
      <c r="E7" s="7">
        <f ca="1">SUMIF(Model!$C$7:$AL$7,3,Model!$C$19:$AL$19)</f>
        <v>18</v>
      </c>
    </row>
    <row r="8" spans="1:5" x14ac:dyDescent="0.25">
      <c r="A8" s="2" t="s">
        <v>26</v>
      </c>
      <c r="C8" s="8">
        <f>INDEX(Model!$C$62:$AL$62,12)</f>
        <v>1</v>
      </c>
      <c r="D8" s="8">
        <f>INDEX(Model!$C$62:$AL$62,24)</f>
        <v>2</v>
      </c>
      <c r="E8" s="8">
        <f>INDEX(Model!$C$62:$AL$62,36)</f>
        <v>3</v>
      </c>
    </row>
    <row r="9" spans="1:5" x14ac:dyDescent="0.25">
      <c r="A9" s="2" t="s">
        <v>27</v>
      </c>
      <c r="C9" s="8">
        <f ca="1">INDEX(Model!$C$66:$AL$66,12)</f>
        <v>0</v>
      </c>
      <c r="D9" s="8">
        <f ca="1">INDEX(Model!$C$66:$AL$66,24)</f>
        <v>2</v>
      </c>
      <c r="E9" s="8">
        <f ca="1">INDEX(Model!$C$66:$AL$66,36)</f>
        <v>3</v>
      </c>
    </row>
    <row r="11" spans="1:5" x14ac:dyDescent="0.25">
      <c r="A11" s="5" t="s">
        <v>28</v>
      </c>
      <c r="B11" s="6"/>
      <c r="C11" s="5" t="s">
        <v>20</v>
      </c>
      <c r="D11" s="5" t="s">
        <v>21</v>
      </c>
      <c r="E11" s="5" t="s">
        <v>22</v>
      </c>
    </row>
    <row r="12" spans="1:5" x14ac:dyDescent="0.25">
      <c r="A12" s="2" t="s">
        <v>29</v>
      </c>
      <c r="C12" s="7">
        <f ca="1">INDEX(Model!$C$38:$AL$38,12)</f>
        <v>6</v>
      </c>
      <c r="D12" s="7">
        <f ca="1">INDEX(Model!$C$38:$AL$38,24)</f>
        <v>19</v>
      </c>
      <c r="E12" s="7">
        <f ca="1">INDEX(Model!$C$38:$AL$38,36)</f>
        <v>39</v>
      </c>
    </row>
    <row r="13" spans="1:5" x14ac:dyDescent="0.25">
      <c r="A13" s="2" t="s">
        <v>30</v>
      </c>
      <c r="C13" s="7">
        <f ca="1">INDEX(Model!$C$42:$AL$42,12)</f>
        <v>5</v>
      </c>
      <c r="D13" s="7">
        <f ca="1">INDEX(Model!$C$42:$AL$42,24)</f>
        <v>12</v>
      </c>
      <c r="E13" s="7">
        <f ca="1">INDEX(Model!$C$42:$AL$42,36)</f>
        <v>25</v>
      </c>
    </row>
    <row r="14" spans="1:5" x14ac:dyDescent="0.25">
      <c r="A14" s="2" t="s">
        <v>31</v>
      </c>
      <c r="C14" s="8">
        <f>INDEX(Model!$C$43:$AL$43,12)+INDEX(Model!$C$44:$AL$44,12)</f>
        <v>0</v>
      </c>
      <c r="D14" s="8">
        <f>INDEX(Model!$C$43:$AL$43,24)+INDEX(Model!$C$44:$AL$44,24)</f>
        <v>1</v>
      </c>
      <c r="E14" s="8">
        <f>INDEX(Model!$C$43:$AL$43,36)+INDEX(Model!$C$44:$AL$44,36)</f>
        <v>2</v>
      </c>
    </row>
    <row r="15" spans="1:5" x14ac:dyDescent="0.25">
      <c r="A15" s="3" t="s">
        <v>32</v>
      </c>
      <c r="C15" s="9">
        <f ca="1">INDEX(Model!$C$47:$AL$47,12)</f>
        <v>11</v>
      </c>
      <c r="D15" s="9">
        <f ca="1">INDEX(Model!$C$47:$AL$47,24)</f>
        <v>32</v>
      </c>
      <c r="E15" s="9">
        <f ca="1">INDEX(Model!$C$47:$AL$47,36)</f>
        <v>66</v>
      </c>
    </row>
    <row r="17" spans="1:5" x14ac:dyDescent="0.25">
      <c r="A17" s="5" t="s">
        <v>33</v>
      </c>
      <c r="B17" s="6"/>
      <c r="C17" s="5" t="s">
        <v>20</v>
      </c>
      <c r="D17" s="5" t="s">
        <v>21</v>
      </c>
      <c r="E17" s="5" t="s">
        <v>22</v>
      </c>
    </row>
    <row r="18" spans="1:5" x14ac:dyDescent="0.25">
      <c r="A18" s="2" t="s">
        <v>34</v>
      </c>
      <c r="C18" s="10">
        <f ca="1">SUMIF(Model!$C$7:$AL$7,1,Model!$C$50:$AL$50)+SUMIF(Model!$C$7:$AL$7,1,Model!$C$51:$AL$51)</f>
        <v>70000</v>
      </c>
      <c r="D18" s="10">
        <f ca="1">SUMIF(Model!$C$7:$AL$7,2,Model!$C$50:$AL$50)+SUMIF(Model!$C$7:$AL$7,2,Model!$C$51:$AL$51)</f>
        <v>150000</v>
      </c>
      <c r="E18" s="10">
        <f ca="1">SUMIF(Model!$C$7:$AL$7,3,Model!$C$50:$AL$50)+SUMIF(Model!$C$7:$AL$7,3,Model!$C$51:$AL$51)</f>
        <v>220000</v>
      </c>
    </row>
    <row r="19" spans="1:5" x14ac:dyDescent="0.25">
      <c r="A19" s="2" t="s">
        <v>35</v>
      </c>
      <c r="C19" s="10">
        <f ca="1">SUMIF(Model!$C$7:$AL$7,1,Model!$C$52:$AL$52)</f>
        <v>68333.333333333343</v>
      </c>
      <c r="D19" s="10">
        <f ca="1">SUMIF(Model!$C$7:$AL$7,2,Model!$C$52:$AL$52)</f>
        <v>256666.66666666666</v>
      </c>
      <c r="E19" s="10">
        <f ca="1">SUMIF(Model!$C$7:$AL$7,3,Model!$C$52:$AL$52)</f>
        <v>598333.33333333337</v>
      </c>
    </row>
    <row r="20" spans="1:5" x14ac:dyDescent="0.25">
      <c r="A20" s="2" t="s">
        <v>36</v>
      </c>
      <c r="C20" s="10">
        <f ca="1">SUMIF(Model!$C$7:$AL$7,1,Model!$C$53:$AL$53)</f>
        <v>127500</v>
      </c>
      <c r="D20" s="10">
        <f ca="1">SUMIF(Model!$C$7:$AL$7,2,Model!$C$53:$AL$53)</f>
        <v>367500</v>
      </c>
      <c r="E20" s="10">
        <f ca="1">SUMIF(Model!$C$7:$AL$7,3,Model!$C$53:$AL$53)</f>
        <v>840000</v>
      </c>
    </row>
    <row r="21" spans="1:5" x14ac:dyDescent="0.25">
      <c r="A21" s="2" t="s">
        <v>37</v>
      </c>
      <c r="C21" s="10">
        <f>SUMIF(Model!$C$7:$AL$7,1,Model!$C$54:$AL$54)</f>
        <v>0</v>
      </c>
      <c r="D21" s="10">
        <f>SUMIF(Model!$C$7:$AL$7,2,Model!$C$54:$AL$54)</f>
        <v>70000</v>
      </c>
      <c r="E21" s="10">
        <f>SUMIF(Model!$C$7:$AL$7,3,Model!$C$54:$AL$54)</f>
        <v>236666.66666666666</v>
      </c>
    </row>
    <row r="22" spans="1:5" x14ac:dyDescent="0.25">
      <c r="A22" s="3" t="s">
        <v>38</v>
      </c>
      <c r="C22" s="11">
        <f ca="1">SUMIF(Model!$C$7:$AL$7,1,Model!$C$55:$AL$55)</f>
        <v>265833.33333333337</v>
      </c>
      <c r="D22" s="11">
        <f ca="1">SUMIF(Model!$C$7:$AL$7,2,Model!$C$55:$AL$55)</f>
        <v>844166.66666666663</v>
      </c>
      <c r="E22" s="11">
        <f ca="1">SUMIF(Model!$C$7:$AL$7,3,Model!$C$55:$AL$55)</f>
        <v>1895000</v>
      </c>
    </row>
    <row r="23" spans="1:5" x14ac:dyDescent="0.25">
      <c r="A23" s="3" t="s">
        <v>39</v>
      </c>
      <c r="C23" s="11">
        <f ca="1">INDEX(Model!$C$57:$AL$57,12)</f>
        <v>345000</v>
      </c>
      <c r="D23" s="11">
        <f ca="1">INDEX(Model!$C$57:$AL$57,24)</f>
        <v>1040000</v>
      </c>
      <c r="E23" s="11">
        <f ca="1">INDEX(Model!$C$57:$AL$57,36)</f>
        <v>2225000</v>
      </c>
    </row>
    <row r="25" spans="1:5" x14ac:dyDescent="0.25">
      <c r="A25" s="5" t="s">
        <v>40</v>
      </c>
      <c r="B25" s="6"/>
      <c r="C25" s="5" t="s">
        <v>20</v>
      </c>
      <c r="D25" s="5" t="s">
        <v>21</v>
      </c>
      <c r="E25" s="5" t="s">
        <v>22</v>
      </c>
    </row>
    <row r="26" spans="1:5" x14ac:dyDescent="0.25">
      <c r="A26" s="2" t="s">
        <v>41</v>
      </c>
      <c r="C26" s="10">
        <f ca="1">SUMIF(Model!$C$7:$AL$7,1,Model!$C$70:$AL$70)</f>
        <v>372783.33333333343</v>
      </c>
      <c r="D26" s="10">
        <f ca="1">SUMIF(Model!$C$7:$AL$7,2,Model!$C$70:$AL$70)</f>
        <v>569900</v>
      </c>
      <c r="E26" s="10">
        <f ca="1">SUMIF(Model!$C$7:$AL$7,3,Model!$C$70:$AL$70)</f>
        <v>814812.50000000012</v>
      </c>
    </row>
    <row r="27" spans="1:5" x14ac:dyDescent="0.25">
      <c r="A27" s="2" t="s">
        <v>42</v>
      </c>
      <c r="C27" s="10">
        <f ca="1">SUMIF(Model!$C$7:$AL$7,1,Model!$C$77:$AL$77)</f>
        <v>70950</v>
      </c>
      <c r="D27" s="10">
        <f ca="1">SUMIF(Model!$C$7:$AL$7,2,Model!$C$77:$AL$77)</f>
        <v>177100</v>
      </c>
      <c r="E27" s="10">
        <f ca="1">SUMIF(Model!$C$7:$AL$7,3,Model!$C$77:$AL$77)</f>
        <v>293850</v>
      </c>
    </row>
    <row r="28" spans="1:5" x14ac:dyDescent="0.25">
      <c r="A28" s="2" t="s">
        <v>43</v>
      </c>
      <c r="C28" s="10">
        <f ca="1">SUMIF(Model!$C$7:$AL$7,1,Model!$C$84:$AL$84)</f>
        <v>81700</v>
      </c>
      <c r="D28" s="10">
        <f ca="1">SUMIF(Model!$C$7:$AL$7,2,Model!$C$84:$AL$84)</f>
        <v>103700</v>
      </c>
      <c r="E28" s="10">
        <f ca="1">SUMIF(Model!$C$7:$AL$7,3,Model!$C$84:$AL$84)</f>
        <v>121450</v>
      </c>
    </row>
    <row r="29" spans="1:5" x14ac:dyDescent="0.25">
      <c r="A29" s="3" t="s">
        <v>44</v>
      </c>
      <c r="C29" s="11">
        <f ca="1">SUMIF(Model!$C$7:$AL$7,1,Model!$C$87:$AL$87)</f>
        <v>525433.33333333326</v>
      </c>
      <c r="D29" s="11">
        <f ca="1">SUMIF(Model!$C$7:$AL$7,2,Model!$C$87:$AL$87)</f>
        <v>850700</v>
      </c>
      <c r="E29" s="11">
        <f ca="1">SUMIF(Model!$C$7:$AL$7,3,Model!$C$87:$AL$87)</f>
        <v>1230112.5</v>
      </c>
    </row>
    <row r="30" spans="1:5" x14ac:dyDescent="0.25">
      <c r="A30" s="3" t="s">
        <v>45</v>
      </c>
      <c r="C30" s="11">
        <f ca="1">SUMIF(Model!$C$7:$AL$7,1,Model!$C$88:$AL$88)</f>
        <v>-259599.99999999991</v>
      </c>
      <c r="D30" s="11">
        <f ca="1">SUMIF(Model!$C$7:$AL$7,2,Model!$C$88:$AL$88)</f>
        <v>-6533.3333333333139</v>
      </c>
      <c r="E30" s="11">
        <f ca="1">SUMIF(Model!$C$7:$AL$7,3,Model!$C$88:$AL$88)</f>
        <v>664887.5</v>
      </c>
    </row>
    <row r="31" spans="1:5" x14ac:dyDescent="0.25">
      <c r="A31" s="2" t="s">
        <v>46</v>
      </c>
      <c r="C31" s="10">
        <f ca="1">Model!C106</f>
        <v>0</v>
      </c>
      <c r="D31" s="10">
        <f ca="1">Model!D106</f>
        <v>0</v>
      </c>
      <c r="E31" s="10">
        <f ca="1">Model!E106</f>
        <v>99688.541666666686</v>
      </c>
    </row>
    <row r="33" spans="1:5" x14ac:dyDescent="0.25">
      <c r="A33" s="5" t="s">
        <v>47</v>
      </c>
      <c r="B33" s="6"/>
      <c r="C33" s="5" t="s">
        <v>20</v>
      </c>
      <c r="D33" s="5" t="s">
        <v>21</v>
      </c>
      <c r="E33" s="5" t="s">
        <v>22</v>
      </c>
    </row>
    <row r="34" spans="1:5" x14ac:dyDescent="0.25">
      <c r="A34" s="3" t="s">
        <v>48</v>
      </c>
      <c r="C34" s="11">
        <f ca="1">INDEX(Model!$C$99:$AL$99,12)</f>
        <v>350233.33333333343</v>
      </c>
      <c r="D34" s="11">
        <f ca="1">INDEX(Model!$C$99:$AL$99,24)</f>
        <v>373910.00000000012</v>
      </c>
      <c r="E34" s="11">
        <f ca="1">INDEX(Model!$C$99:$AL$99,36)</f>
        <v>1095950.8333333335</v>
      </c>
    </row>
    <row r="35" spans="1:5" x14ac:dyDescent="0.25">
      <c r="A35" s="2" t="s">
        <v>49</v>
      </c>
      <c r="C35" s="10">
        <f ca="1">MIN(OFFSET(Model!$C$99,0,0,1,12))</f>
        <v>350233.33333333343</v>
      </c>
      <c r="D35" s="10">
        <f ca="1">MIN(OFFSET(Model!$C$99,0,12,1,12))</f>
        <v>280956.6666666668</v>
      </c>
      <c r="E35" s="10">
        <f ca="1">MIN(OFFSET(Model!$C$99,0,24,1,12))</f>
        <v>389205.83333333343</v>
      </c>
    </row>
    <row r="37" spans="1:5" x14ac:dyDescent="0.25">
      <c r="A37" s="5" t="s">
        <v>50</v>
      </c>
      <c r="B37" s="6"/>
      <c r="C37" s="5" t="s">
        <v>51</v>
      </c>
      <c r="D37" s="5" t="s">
        <v>52</v>
      </c>
      <c r="E37" s="5"/>
    </row>
    <row r="38" spans="1:5" x14ac:dyDescent="0.25">
      <c r="A38" s="2" t="s">
        <v>53</v>
      </c>
      <c r="C38" s="10">
        <f ca="1">INDEX(Model!$C$57:$AL$57,36)</f>
        <v>2225000</v>
      </c>
      <c r="D38" s="10">
        <f ca="1">INDEX('Model – Delay'!$C$57:$AL$57,36)</f>
        <v>1910000</v>
      </c>
    </row>
    <row r="39" spans="1:5" x14ac:dyDescent="0.25">
      <c r="A39" s="2" t="s">
        <v>54</v>
      </c>
      <c r="C39" s="10">
        <f ca="1">SUMIF(Model!$C$7:$AL$7,3,Model!$C$55:$AL$55)</f>
        <v>1895000</v>
      </c>
      <c r="D39" s="10">
        <f ca="1">SUMIF('Model – Delay'!$C$7:$AL$7,3,'Model – Delay'!$C$55:$AL$55)</f>
        <v>1532500</v>
      </c>
    </row>
    <row r="40" spans="1:5" x14ac:dyDescent="0.25">
      <c r="A40" s="2" t="s">
        <v>55</v>
      </c>
      <c r="C40" s="7">
        <f ca="1">INDEX(Model!$C$42:$AL$42,36)</f>
        <v>25</v>
      </c>
      <c r="D40" s="7">
        <f ca="1">INDEX('Model – Delay'!$C$42:$AL$42,36)</f>
        <v>18</v>
      </c>
    </row>
    <row r="41" spans="1:5" x14ac:dyDescent="0.25">
      <c r="A41" s="2" t="s">
        <v>56</v>
      </c>
      <c r="C41" s="10">
        <f ca="1">MIN(Model!$C$98:$AL$98)</f>
        <v>-319043.3333333332</v>
      </c>
      <c r="D41" s="10">
        <f ca="1">MIN('Model – Delay'!$C$98:$AL$98)</f>
        <v>-416470</v>
      </c>
    </row>
    <row r="42" spans="1:5" x14ac:dyDescent="0.25">
      <c r="A42" s="2" t="s">
        <v>57</v>
      </c>
      <c r="C42" s="8">
        <f ca="1">INDEX(Model!$C$6:$AL$6,MATCH(C41,Model!$C$98:$AL$98,0))</f>
        <v>19</v>
      </c>
      <c r="D42" s="8">
        <f ca="1">INDEX('Model – Delay'!$C$6:$AL$6,MATCH(D41,'Model – Delay'!$C$98:$AL$98,0))</f>
        <v>23</v>
      </c>
    </row>
    <row r="43" spans="1:5" x14ac:dyDescent="0.25">
      <c r="A43" s="2" t="s">
        <v>58</v>
      </c>
      <c r="C43" s="10">
        <f ca="1">MIN(Model!$C$99:$AL$99)</f>
        <v>280956.6666666668</v>
      </c>
      <c r="D43" s="10">
        <f ca="1">MIN('Model – Delay'!$C$99:$AL$99)</f>
        <v>183530</v>
      </c>
    </row>
    <row r="44" spans="1:5" x14ac:dyDescent="0.25">
      <c r="A44" s="2" t="s">
        <v>59</v>
      </c>
      <c r="C44" s="8">
        <f ca="1">IF(MIN(Model!$C$89:$AL$89)=999,"Not by M36",MIN(Model!$C$89:$AL$89))</f>
        <v>19</v>
      </c>
      <c r="D44" s="8">
        <f ca="1">IF(MIN('Model – Delay'!$C$89:$AL$89)=999,"Not by M36",MIN('Model – Delay'!$C$89:$AL$89))</f>
        <v>25</v>
      </c>
    </row>
    <row r="45" spans="1:5" x14ac:dyDescent="0.25">
      <c r="A45" s="2" t="s">
        <v>60</v>
      </c>
      <c r="C45" s="10">
        <f ca="1">INDEX(Model!$C$99:$AL$99,36)</f>
        <v>1095950.8333333335</v>
      </c>
      <c r="D45" s="10">
        <f ca="1">INDEX('Model – Delay'!$C$99:$AL$99,36)</f>
        <v>625421.66666666674</v>
      </c>
    </row>
    <row r="47" spans="1:5" x14ac:dyDescent="0.25">
      <c r="A47" s="5" t="s">
        <v>61</v>
      </c>
      <c r="B47" s="6"/>
      <c r="C47" s="5" t="s">
        <v>62</v>
      </c>
      <c r="D47" s="5"/>
      <c r="E47" s="5"/>
    </row>
    <row r="48" spans="1:5" x14ac:dyDescent="0.25">
      <c r="A48" s="2" t="s">
        <v>63</v>
      </c>
      <c r="C48" s="10">
        <f>Assumptions!$B$114</f>
        <v>150000</v>
      </c>
    </row>
    <row r="49" spans="1:3" x14ac:dyDescent="0.25">
      <c r="A49" s="2" t="s">
        <v>64</v>
      </c>
      <c r="C49" s="12">
        <f ca="1">D41</f>
        <v>-416470</v>
      </c>
    </row>
    <row r="50" spans="1:3" x14ac:dyDescent="0.25">
      <c r="A50" s="2" t="s">
        <v>65</v>
      </c>
      <c r="C50" s="10">
        <f>Assumptions!$B$113</f>
        <v>0</v>
      </c>
    </row>
    <row r="51" spans="1:3" x14ac:dyDescent="0.25">
      <c r="A51" s="3" t="s">
        <v>66</v>
      </c>
      <c r="C51" s="13">
        <f ca="1">MAX(0,CEILING(Assumptions!$B$114-D41-Assumptions!$B$113,Assumptions!$B$117))</f>
        <v>600000</v>
      </c>
    </row>
    <row r="52" spans="1:3" x14ac:dyDescent="0.25">
      <c r="A52" s="2" t="s">
        <v>67</v>
      </c>
      <c r="C52" s="10">
        <f>Assumptions!$B$119</f>
        <v>600000</v>
      </c>
    </row>
    <row r="54" spans="1:3" x14ac:dyDescent="0.25">
      <c r="A54" s="3" t="s">
        <v>68</v>
      </c>
    </row>
    <row r="55" spans="1:3" x14ac:dyDescent="0.25">
      <c r="A55" s="2" t="s">
        <v>69</v>
      </c>
      <c r="C55" s="14">
        <f ca="1">E15/Assumptions!$B$8</f>
        <v>2.64E-3</v>
      </c>
    </row>
    <row r="56" spans="1:3" x14ac:dyDescent="0.25">
      <c r="A56" s="2" t="s">
        <v>70</v>
      </c>
      <c r="C56" s="15">
        <f>Assumptions!$B$8*Assumptions!$B$12</f>
        <v>1250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2"/>
  <sheetViews>
    <sheetView showGridLines="0" tabSelected="1" topLeftCell="A21" zoomScaleNormal="100" workbookViewId="0">
      <selection activeCell="A11" sqref="A11"/>
    </sheetView>
  </sheetViews>
  <sheetFormatPr defaultColWidth="8.7109375" defaultRowHeight="15" x14ac:dyDescent="0.25"/>
  <cols>
    <col min="1" max="1" width="52" customWidth="1"/>
    <col min="2" max="2" width="14" customWidth="1"/>
    <col min="3" max="7" width="16" customWidth="1"/>
  </cols>
  <sheetData>
    <row r="1" spans="1:7" ht="18" x14ac:dyDescent="0.25">
      <c r="A1" s="1" t="s">
        <v>71</v>
      </c>
    </row>
    <row r="2" spans="1:7" x14ac:dyDescent="0.25">
      <c r="A2" s="4" t="s">
        <v>72</v>
      </c>
    </row>
    <row r="4" spans="1:7" x14ac:dyDescent="0.25">
      <c r="A4" s="5" t="s">
        <v>73</v>
      </c>
      <c r="B4" s="6"/>
      <c r="C4" s="6"/>
      <c r="D4" s="6"/>
      <c r="E4" s="6"/>
      <c r="F4" s="6"/>
      <c r="G4" s="6"/>
    </row>
    <row r="5" spans="1:7" x14ac:dyDescent="0.25">
      <c r="A5" s="2" t="s">
        <v>74</v>
      </c>
      <c r="B5" s="16">
        <f>DATE(2027,1,1)</f>
        <v>46388</v>
      </c>
    </row>
    <row r="6" spans="1:7" x14ac:dyDescent="0.25">
      <c r="A6" s="2" t="s">
        <v>375</v>
      </c>
      <c r="B6" s="17">
        <v>3000000</v>
      </c>
    </row>
    <row r="7" spans="1:7" x14ac:dyDescent="0.25">
      <c r="A7" s="2" t="s">
        <v>376</v>
      </c>
      <c r="B7" s="17">
        <v>6500000</v>
      </c>
    </row>
    <row r="8" spans="1:7" x14ac:dyDescent="0.25">
      <c r="A8" s="2" t="s">
        <v>377</v>
      </c>
      <c r="B8" s="17">
        <v>15000000</v>
      </c>
    </row>
    <row r="9" spans="1:7" x14ac:dyDescent="0.25">
      <c r="A9" s="2" t="s">
        <v>75</v>
      </c>
      <c r="B9" s="18">
        <v>10</v>
      </c>
    </row>
    <row r="10" spans="1:7" x14ac:dyDescent="0.25">
      <c r="A10" s="2" t="s">
        <v>76</v>
      </c>
      <c r="B10" s="19">
        <v>3600000</v>
      </c>
    </row>
    <row r="11" spans="1:7" x14ac:dyDescent="0.25">
      <c r="A11" s="2" t="s">
        <v>380</v>
      </c>
      <c r="B11" s="20">
        <v>0.1</v>
      </c>
    </row>
    <row r="12" spans="1:7" x14ac:dyDescent="0.25">
      <c r="A12" s="2" t="s">
        <v>77</v>
      </c>
      <c r="B12" s="21">
        <v>21</v>
      </c>
    </row>
    <row r="13" spans="1:7" x14ac:dyDescent="0.25">
      <c r="A13" s="2" t="s">
        <v>78</v>
      </c>
      <c r="B13" s="19">
        <v>3000000</v>
      </c>
    </row>
    <row r="14" spans="1:7" x14ac:dyDescent="0.25">
      <c r="A14" s="2" t="s">
        <v>79</v>
      </c>
      <c r="B14" s="20">
        <v>0.2</v>
      </c>
    </row>
    <row r="15" spans="1:7" x14ac:dyDescent="0.25">
      <c r="A15" s="2" t="s">
        <v>80</v>
      </c>
      <c r="B15" s="20">
        <v>0.2</v>
      </c>
    </row>
    <row r="17" spans="1:7" x14ac:dyDescent="0.25">
      <c r="A17" s="5" t="s">
        <v>81</v>
      </c>
      <c r="B17" s="6"/>
      <c r="C17" s="5" t="s">
        <v>20</v>
      </c>
      <c r="D17" s="5" t="s">
        <v>21</v>
      </c>
      <c r="E17" s="5" t="s">
        <v>22</v>
      </c>
      <c r="F17" s="5" t="s">
        <v>82</v>
      </c>
      <c r="G17" s="5" t="s">
        <v>83</v>
      </c>
    </row>
    <row r="18" spans="1:7" x14ac:dyDescent="0.25">
      <c r="A18" s="3" t="s">
        <v>39</v>
      </c>
      <c r="C18" s="11">
        <f ca="1">INDEX(Model!$C$57:$AL$57,12)</f>
        <v>345000</v>
      </c>
      <c r="D18" s="11">
        <f ca="1">INDEX(Model!$C$57:$AL$57,24)</f>
        <v>1040000</v>
      </c>
      <c r="E18" s="11">
        <f>$B$6</f>
        <v>3000000</v>
      </c>
      <c r="F18" s="11">
        <f>$B$7</f>
        <v>6500000</v>
      </c>
      <c r="G18" s="11">
        <f>$B$8</f>
        <v>15000000</v>
      </c>
    </row>
    <row r="19" spans="1:7" x14ac:dyDescent="0.25">
      <c r="A19" t="s">
        <v>84</v>
      </c>
      <c r="D19" s="22">
        <f ca="1">D18/C18</f>
        <v>3.0144927536231885</v>
      </c>
      <c r="E19" s="22">
        <f ca="1">E18/D18</f>
        <v>2.8846153846153846</v>
      </c>
      <c r="F19" s="22">
        <f>F18/E18</f>
        <v>2.1666666666666665</v>
      </c>
      <c r="G19" s="22">
        <f>G18/F18</f>
        <v>2.3076923076923075</v>
      </c>
    </row>
    <row r="20" spans="1:7" x14ac:dyDescent="0.25">
      <c r="A20" t="s">
        <v>85</v>
      </c>
      <c r="C20" s="4" t="s">
        <v>86</v>
      </c>
      <c r="D20" s="4" t="s">
        <v>86</v>
      </c>
      <c r="E20" s="4" t="s">
        <v>87</v>
      </c>
      <c r="F20" s="4" t="s">
        <v>87</v>
      </c>
      <c r="G20" s="4" t="s">
        <v>87</v>
      </c>
    </row>
    <row r="21" spans="1:7" x14ac:dyDescent="0.25">
      <c r="A21" s="4" t="s">
        <v>88</v>
      </c>
      <c r="E21" s="23">
        <f ca="1">INDEX(Model!$C$57:$AL$57,36)</f>
        <v>2225000</v>
      </c>
    </row>
    <row r="22" spans="1:7" x14ac:dyDescent="0.25">
      <c r="A22" s="4" t="s">
        <v>89</v>
      </c>
    </row>
    <row r="24" spans="1:7" x14ac:dyDescent="0.25">
      <c r="A24" s="5" t="s">
        <v>90</v>
      </c>
      <c r="B24" s="6"/>
      <c r="C24" s="5" t="s">
        <v>91</v>
      </c>
      <c r="D24" s="5" t="s">
        <v>92</v>
      </c>
      <c r="E24" s="6"/>
      <c r="F24" s="6"/>
      <c r="G24" s="6"/>
    </row>
    <row r="25" spans="1:7" x14ac:dyDescent="0.25">
      <c r="A25" t="s">
        <v>93</v>
      </c>
      <c r="B25" s="19">
        <v>500000</v>
      </c>
      <c r="C25">
        <f ca="1">IFERROR(MATCH(1,INDEX((Model!$C$57:$AL$57&gt;=B25)*1,0),0),"After M36")</f>
        <v>17</v>
      </c>
      <c r="D25" s="24">
        <f ca="1">IF(ISNUMBER(C25),EDATE($B$5,C25-1),"—")</f>
        <v>46874</v>
      </c>
    </row>
    <row r="26" spans="1:7" x14ac:dyDescent="0.25">
      <c r="A26" t="s">
        <v>94</v>
      </c>
      <c r="B26" s="19">
        <v>1000000</v>
      </c>
      <c r="C26">
        <f ca="1">IFERROR(MATCH(1,INDEX((Model!$C$57:$AL$57&gt;=B26)*1,0),0),"After M36")</f>
        <v>23</v>
      </c>
      <c r="D26" s="24">
        <f ca="1">IF(ISNUMBER(C26),EDATE($B$5,C26-1),"—")</f>
        <v>47058</v>
      </c>
    </row>
    <row r="27" spans="1:7" x14ac:dyDescent="0.25">
      <c r="A27" t="s">
        <v>95</v>
      </c>
      <c r="B27" s="19">
        <v>2000000</v>
      </c>
      <c r="C27">
        <f ca="1">IFERROR(MATCH(1,INDEX((Model!$C$57:$AL$57&gt;=B27)*1,0),0),"After M36")</f>
        <v>34</v>
      </c>
      <c r="D27" s="24">
        <f ca="1">IF(ISNUMBER(C27),EDATE($B$5,C27-1),"—")</f>
        <v>47392</v>
      </c>
    </row>
    <row r="29" spans="1:7" x14ac:dyDescent="0.25">
      <c r="A29" s="5" t="s">
        <v>96</v>
      </c>
      <c r="B29" s="6"/>
      <c r="C29" s="6"/>
      <c r="D29" s="6"/>
      <c r="E29" s="6"/>
      <c r="F29" s="6"/>
      <c r="G29" s="6"/>
    </row>
    <row r="30" spans="1:7" x14ac:dyDescent="0.25">
      <c r="A30" s="3" t="s">
        <v>97</v>
      </c>
      <c r="C30" t="s">
        <v>381</v>
      </c>
    </row>
    <row r="31" spans="1:7" x14ac:dyDescent="0.25">
      <c r="A31" s="3" t="s">
        <v>98</v>
      </c>
      <c r="C31" t="s">
        <v>99</v>
      </c>
    </row>
    <row r="32" spans="1:7" x14ac:dyDescent="0.25">
      <c r="A32" s="3" t="s">
        <v>100</v>
      </c>
      <c r="C32" t="s">
        <v>101</v>
      </c>
    </row>
    <row r="33" spans="1:7" x14ac:dyDescent="0.25">
      <c r="A33" s="3" t="s">
        <v>102</v>
      </c>
      <c r="C33" t="s">
        <v>103</v>
      </c>
    </row>
    <row r="34" spans="1:7" x14ac:dyDescent="0.25">
      <c r="A34" t="s">
        <v>104</v>
      </c>
      <c r="C34" s="10">
        <f ca="1">INDEX(Model!$C$57:$AL$57,$B$12)</f>
        <v>890000</v>
      </c>
      <c r="D34" s="24">
        <f>EDATE($B$5,$B$12-1)</f>
        <v>46997</v>
      </c>
    </row>
    <row r="36" spans="1:7" x14ac:dyDescent="0.25">
      <c r="A36" s="5" t="s">
        <v>105</v>
      </c>
      <c r="B36" s="6"/>
      <c r="C36" s="6"/>
      <c r="D36" s="6"/>
      <c r="E36" s="6"/>
      <c r="F36" s="6"/>
      <c r="G36" s="6"/>
    </row>
    <row r="37" spans="1:7" x14ac:dyDescent="0.25">
      <c r="A37" t="s">
        <v>106</v>
      </c>
      <c r="C37" s="25">
        <f>G18*$B$9</f>
        <v>150000000</v>
      </c>
    </row>
    <row r="38" spans="1:7" x14ac:dyDescent="0.25">
      <c r="A38" t="s">
        <v>107</v>
      </c>
      <c r="C38" s="26">
        <f>Assumptions!$B$119/$B$10</f>
        <v>0.16666666666666666</v>
      </c>
    </row>
    <row r="39" spans="1:7" x14ac:dyDescent="0.25">
      <c r="A39" t="s">
        <v>382</v>
      </c>
      <c r="C39" s="26">
        <f>C38</f>
        <v>0.16666666666666666</v>
      </c>
    </row>
    <row r="40" spans="1:7" x14ac:dyDescent="0.25">
      <c r="A40" t="s">
        <v>108</v>
      </c>
      <c r="C40" s="26">
        <f>C39*(1-$B$14)*(1-$B$15)</f>
        <v>0.10666666666666667</v>
      </c>
    </row>
    <row r="41" spans="1:7" x14ac:dyDescent="0.25">
      <c r="A41" t="s">
        <v>109</v>
      </c>
      <c r="C41" s="25">
        <f>C37*C40</f>
        <v>16000000.000000002</v>
      </c>
    </row>
    <row r="42" spans="1:7" x14ac:dyDescent="0.25">
      <c r="A42" s="3" t="s">
        <v>110</v>
      </c>
      <c r="C42" s="27">
        <f>C41/Assumptions!$B$119</f>
        <v>26.666666666666671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19"/>
  <sheetViews>
    <sheetView showGridLines="0" zoomScaleNormal="100" workbookViewId="0">
      <pane ySplit="4" topLeftCell="A5" activePane="bottomLeft" state="frozen"/>
      <selection pane="bottomLeft"/>
    </sheetView>
  </sheetViews>
  <sheetFormatPr defaultColWidth="8.7109375" defaultRowHeight="15" x14ac:dyDescent="0.25"/>
  <cols>
    <col min="1" max="1" width="62" customWidth="1"/>
    <col min="2" max="2" width="14" customWidth="1"/>
    <col min="3" max="3" width="22" customWidth="1"/>
    <col min="4" max="4" width="80" customWidth="1"/>
  </cols>
  <sheetData>
    <row r="1" spans="1:4" ht="18" x14ac:dyDescent="0.25">
      <c r="A1" s="1" t="s">
        <v>111</v>
      </c>
    </row>
    <row r="2" spans="1:4" x14ac:dyDescent="0.25">
      <c r="A2" s="4" t="s">
        <v>112</v>
      </c>
    </row>
    <row r="4" spans="1:4" x14ac:dyDescent="0.25">
      <c r="A4" s="28" t="s">
        <v>113</v>
      </c>
      <c r="B4" s="28" t="s">
        <v>114</v>
      </c>
      <c r="C4" s="28" t="s">
        <v>115</v>
      </c>
      <c r="D4" s="28" t="s">
        <v>116</v>
      </c>
    </row>
    <row r="6" spans="1:4" x14ac:dyDescent="0.25">
      <c r="A6" s="5" t="s">
        <v>117</v>
      </c>
      <c r="B6" s="6"/>
      <c r="C6" s="6"/>
      <c r="D6" s="6"/>
    </row>
    <row r="7" spans="1:4" x14ac:dyDescent="0.25">
      <c r="A7" s="2" t="s">
        <v>118</v>
      </c>
      <c r="B7" s="29">
        <v>50000</v>
      </c>
      <c r="C7" s="30" t="s">
        <v>119</v>
      </c>
      <c r="D7" s="30" t="s">
        <v>120</v>
      </c>
    </row>
    <row r="8" spans="1:4" x14ac:dyDescent="0.25">
      <c r="A8" s="2" t="s">
        <v>121</v>
      </c>
      <c r="B8" s="29">
        <v>25000</v>
      </c>
      <c r="C8" s="30" t="s">
        <v>119</v>
      </c>
      <c r="D8" s="30" t="s">
        <v>122</v>
      </c>
    </row>
    <row r="9" spans="1:4" x14ac:dyDescent="0.25">
      <c r="A9" s="2" t="s">
        <v>123</v>
      </c>
      <c r="B9" s="29">
        <v>400</v>
      </c>
      <c r="C9" s="30" t="s">
        <v>119</v>
      </c>
      <c r="D9" s="30" t="s">
        <v>124</v>
      </c>
    </row>
    <row r="11" spans="1:4" x14ac:dyDescent="0.25">
      <c r="A11" s="5" t="s">
        <v>19</v>
      </c>
      <c r="B11" s="6"/>
      <c r="C11" s="6"/>
      <c r="D11" s="6"/>
    </row>
    <row r="12" spans="1:4" x14ac:dyDescent="0.25">
      <c r="A12" s="2" t="s">
        <v>125</v>
      </c>
      <c r="B12" s="31">
        <v>0.05</v>
      </c>
      <c r="C12" s="30" t="s">
        <v>126</v>
      </c>
      <c r="D12" s="30" t="s">
        <v>127</v>
      </c>
    </row>
    <row r="13" spans="1:4" x14ac:dyDescent="0.25">
      <c r="A13" s="2" t="s">
        <v>128</v>
      </c>
      <c r="B13" s="20">
        <v>0.12</v>
      </c>
      <c r="C13" s="30" t="s">
        <v>129</v>
      </c>
      <c r="D13" s="30"/>
    </row>
    <row r="14" spans="1:4" x14ac:dyDescent="0.25">
      <c r="A14" s="2" t="s">
        <v>130</v>
      </c>
      <c r="B14" s="20">
        <v>0.35</v>
      </c>
      <c r="C14" s="30" t="s">
        <v>129</v>
      </c>
      <c r="D14" s="30"/>
    </row>
    <row r="15" spans="1:4" x14ac:dyDescent="0.25">
      <c r="A15" s="2" t="s">
        <v>131</v>
      </c>
      <c r="B15" s="20">
        <v>0.53</v>
      </c>
      <c r="C15" s="30" t="s">
        <v>129</v>
      </c>
      <c r="D15" s="30" t="s">
        <v>132</v>
      </c>
    </row>
    <row r="16" spans="1:4" x14ac:dyDescent="0.25">
      <c r="A16" s="2" t="s">
        <v>133</v>
      </c>
      <c r="B16" s="31">
        <v>0.06</v>
      </c>
      <c r="C16" s="30" t="s">
        <v>126</v>
      </c>
      <c r="D16" s="30" t="s">
        <v>134</v>
      </c>
    </row>
    <row r="17" spans="1:4" x14ac:dyDescent="0.25">
      <c r="A17" s="2" t="s">
        <v>135</v>
      </c>
      <c r="B17" s="21">
        <v>3</v>
      </c>
      <c r="C17" s="30" t="s">
        <v>136</v>
      </c>
      <c r="D17" s="30" t="s">
        <v>137</v>
      </c>
    </row>
    <row r="18" spans="1:4" x14ac:dyDescent="0.25">
      <c r="A18" s="2" t="s">
        <v>138</v>
      </c>
      <c r="B18" s="31">
        <v>0.5</v>
      </c>
      <c r="C18" s="30" t="s">
        <v>126</v>
      </c>
      <c r="D18" s="30" t="s">
        <v>139</v>
      </c>
    </row>
    <row r="19" spans="1:4" x14ac:dyDescent="0.25">
      <c r="A19" s="2" t="s">
        <v>140</v>
      </c>
      <c r="B19" s="31">
        <v>0.65</v>
      </c>
      <c r="C19" s="30" t="s">
        <v>126</v>
      </c>
      <c r="D19" s="30" t="s">
        <v>141</v>
      </c>
    </row>
    <row r="20" spans="1:4" x14ac:dyDescent="0.25">
      <c r="A20" s="2" t="s">
        <v>142</v>
      </c>
      <c r="B20" s="31">
        <v>2.5000000000000001E-2</v>
      </c>
      <c r="C20" s="30" t="s">
        <v>126</v>
      </c>
      <c r="D20" s="30" t="s">
        <v>143</v>
      </c>
    </row>
    <row r="21" spans="1:4" x14ac:dyDescent="0.25">
      <c r="A21" s="2" t="s">
        <v>144</v>
      </c>
      <c r="B21" s="29">
        <v>0</v>
      </c>
      <c r="C21" s="30" t="s">
        <v>145</v>
      </c>
      <c r="D21" s="30"/>
    </row>
    <row r="22" spans="1:4" x14ac:dyDescent="0.25">
      <c r="A22" s="2" t="s">
        <v>146</v>
      </c>
      <c r="B22" s="29">
        <v>1</v>
      </c>
      <c r="C22" s="30" t="s">
        <v>145</v>
      </c>
      <c r="D22" s="30" t="s">
        <v>378</v>
      </c>
    </row>
    <row r="23" spans="1:4" x14ac:dyDescent="0.25">
      <c r="A23" s="2" t="s">
        <v>147</v>
      </c>
      <c r="B23" s="29">
        <v>2</v>
      </c>
      <c r="C23" s="30" t="s">
        <v>145</v>
      </c>
      <c r="D23" s="30" t="s">
        <v>379</v>
      </c>
    </row>
    <row r="24" spans="1:4" x14ac:dyDescent="0.25">
      <c r="A24" s="2" t="s">
        <v>148</v>
      </c>
      <c r="B24" s="29">
        <v>6</v>
      </c>
      <c r="C24" s="30" t="s">
        <v>149</v>
      </c>
      <c r="D24" s="30" t="s">
        <v>150</v>
      </c>
    </row>
    <row r="25" spans="1:4" x14ac:dyDescent="0.25">
      <c r="A25" s="2" t="s">
        <v>151</v>
      </c>
      <c r="B25" s="29">
        <v>4</v>
      </c>
      <c r="C25" s="30" t="s">
        <v>149</v>
      </c>
      <c r="D25" s="30" t="s">
        <v>152</v>
      </c>
    </row>
    <row r="27" spans="1:4" x14ac:dyDescent="0.25">
      <c r="A27" s="5" t="s">
        <v>153</v>
      </c>
      <c r="B27" s="6"/>
      <c r="C27" s="6"/>
      <c r="D27" s="6"/>
    </row>
    <row r="28" spans="1:4" x14ac:dyDescent="0.25">
      <c r="A28" s="2" t="s">
        <v>154</v>
      </c>
      <c r="B28" s="19">
        <v>10000</v>
      </c>
      <c r="C28" s="30" t="s">
        <v>155</v>
      </c>
      <c r="D28" s="30" t="s">
        <v>156</v>
      </c>
    </row>
    <row r="29" spans="1:4" x14ac:dyDescent="0.25">
      <c r="A29" s="2" t="s">
        <v>157</v>
      </c>
      <c r="B29" s="21">
        <v>1</v>
      </c>
      <c r="C29" s="30" t="s">
        <v>158</v>
      </c>
      <c r="D29" s="30" t="s">
        <v>159</v>
      </c>
    </row>
    <row r="30" spans="1:4" x14ac:dyDescent="0.25">
      <c r="A30" s="2" t="s">
        <v>160</v>
      </c>
      <c r="B30" s="19">
        <v>20000</v>
      </c>
      <c r="C30" s="30" t="s">
        <v>161</v>
      </c>
      <c r="D30" s="30" t="s">
        <v>162</v>
      </c>
    </row>
    <row r="31" spans="1:4" x14ac:dyDescent="0.25">
      <c r="A31" s="2" t="s">
        <v>163</v>
      </c>
      <c r="B31" s="19">
        <v>45000</v>
      </c>
      <c r="C31" s="30" t="s">
        <v>161</v>
      </c>
      <c r="D31" s="30" t="s">
        <v>164</v>
      </c>
    </row>
    <row r="32" spans="1:4" x14ac:dyDescent="0.25">
      <c r="A32" s="2" t="s">
        <v>165</v>
      </c>
      <c r="B32" s="19">
        <v>120000</v>
      </c>
      <c r="C32" s="30" t="s">
        <v>161</v>
      </c>
      <c r="D32" s="30" t="s">
        <v>166</v>
      </c>
    </row>
    <row r="33" spans="1:4" x14ac:dyDescent="0.25">
      <c r="A33" s="2" t="s">
        <v>167</v>
      </c>
      <c r="B33" s="21">
        <v>18</v>
      </c>
      <c r="C33" s="30" t="s">
        <v>168</v>
      </c>
      <c r="D33" s="30"/>
    </row>
    <row r="34" spans="1:4" x14ac:dyDescent="0.25">
      <c r="A34" s="2" t="s">
        <v>169</v>
      </c>
      <c r="B34" s="19">
        <v>200000</v>
      </c>
      <c r="C34" s="30" t="s">
        <v>161</v>
      </c>
      <c r="D34" s="30" t="s">
        <v>170</v>
      </c>
    </row>
    <row r="35" spans="1:4" x14ac:dyDescent="0.25">
      <c r="A35" s="2" t="s">
        <v>171</v>
      </c>
      <c r="B35" s="21">
        <v>30</v>
      </c>
      <c r="C35" s="30" t="s">
        <v>168</v>
      </c>
      <c r="D35" s="30"/>
    </row>
    <row r="37" spans="1:4" x14ac:dyDescent="0.25">
      <c r="A37" s="5" t="s">
        <v>172</v>
      </c>
      <c r="B37" s="6"/>
      <c r="C37" s="6"/>
      <c r="D37" s="6"/>
    </row>
    <row r="38" spans="1:4" x14ac:dyDescent="0.25">
      <c r="A38" s="2" t="s">
        <v>173</v>
      </c>
      <c r="B38" s="20">
        <v>0.1</v>
      </c>
      <c r="C38" s="30" t="s">
        <v>174</v>
      </c>
      <c r="D38" s="30"/>
    </row>
    <row r="39" spans="1:4" x14ac:dyDescent="0.25">
      <c r="A39" s="2" t="s">
        <v>175</v>
      </c>
      <c r="B39" s="20">
        <v>0.05</v>
      </c>
      <c r="C39" s="30" t="s">
        <v>174</v>
      </c>
      <c r="D39" s="30" t="s">
        <v>176</v>
      </c>
    </row>
    <row r="40" spans="1:4" x14ac:dyDescent="0.25">
      <c r="A40" s="2" t="s">
        <v>177</v>
      </c>
      <c r="B40" s="14">
        <f>1-(1-$B$38)^(1/12)</f>
        <v>8.7416109546967213E-3</v>
      </c>
      <c r="C40" s="30" t="s">
        <v>178</v>
      </c>
      <c r="D40" s="30" t="s">
        <v>179</v>
      </c>
    </row>
    <row r="41" spans="1:4" x14ac:dyDescent="0.25">
      <c r="A41" s="2" t="s">
        <v>180</v>
      </c>
      <c r="B41" s="14">
        <f>1-(1-$B$39)^(1/12)</f>
        <v>4.2653187775606449E-3</v>
      </c>
      <c r="C41" s="30" t="s">
        <v>178</v>
      </c>
      <c r="D41" s="30" t="s">
        <v>179</v>
      </c>
    </row>
    <row r="43" spans="1:4" x14ac:dyDescent="0.25">
      <c r="A43" s="5" t="s">
        <v>181</v>
      </c>
      <c r="B43" s="6"/>
      <c r="C43" s="6"/>
      <c r="D43" s="6"/>
    </row>
    <row r="44" spans="1:4" x14ac:dyDescent="0.25">
      <c r="A44" s="2" t="s">
        <v>182</v>
      </c>
      <c r="B44" s="19">
        <v>75000</v>
      </c>
      <c r="C44" s="30" t="s">
        <v>161</v>
      </c>
      <c r="D44" s="30" t="s">
        <v>183</v>
      </c>
    </row>
    <row r="45" spans="1:4" x14ac:dyDescent="0.25">
      <c r="A45" s="2" t="s">
        <v>184</v>
      </c>
      <c r="B45" s="29">
        <v>3</v>
      </c>
      <c r="C45" s="30" t="s">
        <v>185</v>
      </c>
      <c r="D45" s="30" t="s">
        <v>186</v>
      </c>
    </row>
    <row r="46" spans="1:4" x14ac:dyDescent="0.25">
      <c r="A46" s="2" t="s">
        <v>187</v>
      </c>
      <c r="B46" s="19">
        <v>55000</v>
      </c>
      <c r="C46" s="30" t="s">
        <v>161</v>
      </c>
      <c r="D46" s="30" t="s">
        <v>188</v>
      </c>
    </row>
    <row r="47" spans="1:4" x14ac:dyDescent="0.25">
      <c r="A47" s="2" t="s">
        <v>189</v>
      </c>
      <c r="B47" s="29">
        <v>1</v>
      </c>
      <c r="C47" s="30" t="s">
        <v>185</v>
      </c>
      <c r="D47" s="30"/>
    </row>
    <row r="48" spans="1:4" x14ac:dyDescent="0.25">
      <c r="A48" s="2" t="s">
        <v>190</v>
      </c>
      <c r="B48" s="21">
        <v>1</v>
      </c>
      <c r="C48" s="30" t="s">
        <v>168</v>
      </c>
      <c r="D48" s="30" t="s">
        <v>191</v>
      </c>
    </row>
    <row r="49" spans="1:4" x14ac:dyDescent="0.25">
      <c r="A49" s="2" t="s">
        <v>192</v>
      </c>
      <c r="B49" s="19">
        <v>0</v>
      </c>
      <c r="C49" s="30" t="s">
        <v>62</v>
      </c>
      <c r="D49" s="30" t="s">
        <v>193</v>
      </c>
    </row>
    <row r="50" spans="1:4" x14ac:dyDescent="0.25">
      <c r="A50" s="2" t="s">
        <v>194</v>
      </c>
      <c r="B50" s="21">
        <v>9</v>
      </c>
      <c r="C50" s="30" t="s">
        <v>168</v>
      </c>
      <c r="D50" s="30" t="s">
        <v>195</v>
      </c>
    </row>
    <row r="51" spans="1:4" x14ac:dyDescent="0.25">
      <c r="A51" s="2" t="s">
        <v>196</v>
      </c>
      <c r="B51" s="29">
        <v>15</v>
      </c>
      <c r="C51" s="30" t="s">
        <v>197</v>
      </c>
      <c r="D51" s="30" t="s">
        <v>198</v>
      </c>
    </row>
    <row r="52" spans="1:4" x14ac:dyDescent="0.25">
      <c r="A52" s="2" t="s">
        <v>199</v>
      </c>
      <c r="B52" s="29">
        <v>15</v>
      </c>
      <c r="C52" s="30" t="s">
        <v>197</v>
      </c>
      <c r="D52" s="30" t="s">
        <v>200</v>
      </c>
    </row>
    <row r="53" spans="1:4" x14ac:dyDescent="0.25">
      <c r="A53" s="2" t="s">
        <v>201</v>
      </c>
      <c r="B53" s="19">
        <v>55000</v>
      </c>
      <c r="C53" s="30" t="s">
        <v>161</v>
      </c>
      <c r="D53" s="30"/>
    </row>
    <row r="54" spans="1:4" x14ac:dyDescent="0.25">
      <c r="A54" s="2" t="s">
        <v>202</v>
      </c>
      <c r="B54" s="20">
        <v>0.1</v>
      </c>
      <c r="C54" s="30" t="s">
        <v>203</v>
      </c>
      <c r="D54" s="30" t="s">
        <v>204</v>
      </c>
    </row>
    <row r="55" spans="1:4" x14ac:dyDescent="0.25">
      <c r="A55" s="2" t="s">
        <v>205</v>
      </c>
      <c r="B55" s="29">
        <v>10</v>
      </c>
      <c r="C55" s="30" t="s">
        <v>206</v>
      </c>
      <c r="D55" s="30"/>
    </row>
    <row r="56" spans="1:4" x14ac:dyDescent="0.25">
      <c r="A56" s="2" t="s">
        <v>207</v>
      </c>
      <c r="B56" s="29">
        <v>15</v>
      </c>
      <c r="C56" s="30" t="s">
        <v>206</v>
      </c>
      <c r="D56" s="30"/>
    </row>
    <row r="57" spans="1:4" x14ac:dyDescent="0.25">
      <c r="A57" s="2" t="s">
        <v>208</v>
      </c>
      <c r="B57" s="32">
        <v>0.3</v>
      </c>
      <c r="C57" s="30" t="s">
        <v>209</v>
      </c>
      <c r="D57" s="30"/>
    </row>
    <row r="58" spans="1:4" x14ac:dyDescent="0.25">
      <c r="A58" s="2" t="s">
        <v>210</v>
      </c>
      <c r="B58" s="32">
        <v>3</v>
      </c>
      <c r="C58" s="30" t="s">
        <v>209</v>
      </c>
      <c r="D58" s="30"/>
    </row>
    <row r="59" spans="1:4" x14ac:dyDescent="0.25">
      <c r="A59" s="2" t="s">
        <v>211</v>
      </c>
      <c r="B59" s="19">
        <v>60000</v>
      </c>
      <c r="C59" s="30" t="s">
        <v>161</v>
      </c>
      <c r="D59" s="30"/>
    </row>
    <row r="61" spans="1:4" x14ac:dyDescent="0.25">
      <c r="A61" s="5" t="s">
        <v>212</v>
      </c>
      <c r="B61" s="6"/>
      <c r="C61" s="6"/>
      <c r="D61" s="6"/>
    </row>
    <row r="62" spans="1:4" x14ac:dyDescent="0.25">
      <c r="A62" s="2" t="s">
        <v>213</v>
      </c>
      <c r="B62" s="20">
        <v>0.15</v>
      </c>
      <c r="C62" s="30" t="s">
        <v>126</v>
      </c>
      <c r="D62" s="30" t="s">
        <v>214</v>
      </c>
    </row>
    <row r="63" spans="1:4" x14ac:dyDescent="0.25">
      <c r="A63" s="2" t="s">
        <v>215</v>
      </c>
      <c r="B63" s="19">
        <v>5000</v>
      </c>
      <c r="C63" s="30" t="s">
        <v>216</v>
      </c>
      <c r="D63" s="30" t="s">
        <v>217</v>
      </c>
    </row>
    <row r="64" spans="1:4" x14ac:dyDescent="0.25">
      <c r="A64" s="2" t="s">
        <v>218</v>
      </c>
      <c r="B64" s="19">
        <v>10500</v>
      </c>
      <c r="C64" s="30" t="s">
        <v>161</v>
      </c>
      <c r="D64" s="30" t="s">
        <v>219</v>
      </c>
    </row>
    <row r="65" spans="1:4" x14ac:dyDescent="0.25">
      <c r="A65" s="2" t="s">
        <v>220</v>
      </c>
      <c r="B65" s="20">
        <v>0.03</v>
      </c>
      <c r="C65" s="30" t="s">
        <v>221</v>
      </c>
      <c r="D65" s="30" t="s">
        <v>222</v>
      </c>
    </row>
    <row r="67" spans="1:4" x14ac:dyDescent="0.25">
      <c r="A67" s="5" t="s">
        <v>223</v>
      </c>
      <c r="B67" s="6"/>
      <c r="C67" s="6"/>
      <c r="D67" s="6"/>
    </row>
    <row r="68" spans="1:4" x14ac:dyDescent="0.25">
      <c r="A68" s="2" t="s">
        <v>224</v>
      </c>
      <c r="B68" s="19">
        <v>2500</v>
      </c>
      <c r="C68" s="30" t="s">
        <v>225</v>
      </c>
      <c r="D68" s="30" t="s">
        <v>226</v>
      </c>
    </row>
    <row r="69" spans="1:4" x14ac:dyDescent="0.25">
      <c r="A69" s="2" t="s">
        <v>227</v>
      </c>
      <c r="B69" s="19">
        <v>700</v>
      </c>
      <c r="C69" s="30" t="s">
        <v>228</v>
      </c>
      <c r="D69" s="30" t="s">
        <v>229</v>
      </c>
    </row>
    <row r="70" spans="1:4" x14ac:dyDescent="0.25">
      <c r="A70" s="2" t="s">
        <v>230</v>
      </c>
      <c r="B70" s="19">
        <v>50</v>
      </c>
      <c r="C70" s="30" t="s">
        <v>228</v>
      </c>
      <c r="D70" s="30" t="s">
        <v>231</v>
      </c>
    </row>
    <row r="71" spans="1:4" x14ac:dyDescent="0.25">
      <c r="A71" s="2" t="s">
        <v>232</v>
      </c>
      <c r="B71" s="19">
        <v>250</v>
      </c>
      <c r="C71" s="30" t="s">
        <v>228</v>
      </c>
      <c r="D71" s="30" t="s">
        <v>233</v>
      </c>
    </row>
    <row r="72" spans="1:4" x14ac:dyDescent="0.25">
      <c r="A72" s="2" t="s">
        <v>234</v>
      </c>
      <c r="B72" s="19">
        <v>750</v>
      </c>
      <c r="C72" s="30" t="s">
        <v>228</v>
      </c>
      <c r="D72" s="30" t="s">
        <v>235</v>
      </c>
    </row>
    <row r="73" spans="1:4" x14ac:dyDescent="0.25">
      <c r="A73" s="2" t="s">
        <v>236</v>
      </c>
      <c r="B73" s="19">
        <v>750</v>
      </c>
      <c r="C73" s="30" t="s">
        <v>155</v>
      </c>
      <c r="D73" s="30" t="s">
        <v>237</v>
      </c>
    </row>
    <row r="74" spans="1:4" x14ac:dyDescent="0.25">
      <c r="A74" s="2" t="s">
        <v>238</v>
      </c>
      <c r="B74" s="19">
        <v>5000</v>
      </c>
      <c r="C74" s="30" t="s">
        <v>155</v>
      </c>
      <c r="D74" s="30" t="s">
        <v>239</v>
      </c>
    </row>
    <row r="75" spans="1:4" x14ac:dyDescent="0.25">
      <c r="A75" s="2" t="s">
        <v>240</v>
      </c>
      <c r="B75" s="19">
        <v>15000</v>
      </c>
      <c r="C75" s="30" t="s">
        <v>155</v>
      </c>
      <c r="D75" s="30" t="s">
        <v>235</v>
      </c>
    </row>
    <row r="77" spans="1:4" x14ac:dyDescent="0.25">
      <c r="A77" s="5" t="s">
        <v>241</v>
      </c>
      <c r="B77" s="6"/>
      <c r="C77" s="6"/>
      <c r="D77" s="6"/>
    </row>
    <row r="78" spans="1:4" x14ac:dyDescent="0.25">
      <c r="A78" s="2" t="s">
        <v>242</v>
      </c>
      <c r="B78" s="19">
        <v>1950</v>
      </c>
      <c r="C78" s="30" t="s">
        <v>228</v>
      </c>
      <c r="D78" s="30" t="s">
        <v>229</v>
      </c>
    </row>
    <row r="79" spans="1:4" x14ac:dyDescent="0.25">
      <c r="A79" s="2" t="s">
        <v>243</v>
      </c>
      <c r="B79" s="19">
        <v>1200</v>
      </c>
      <c r="C79" s="30" t="s">
        <v>228</v>
      </c>
      <c r="D79" s="30" t="s">
        <v>244</v>
      </c>
    </row>
    <row r="80" spans="1:4" x14ac:dyDescent="0.25">
      <c r="A80" s="2" t="s">
        <v>245</v>
      </c>
      <c r="B80" s="19">
        <v>750</v>
      </c>
      <c r="C80" s="30" t="s">
        <v>228</v>
      </c>
      <c r="D80" s="30" t="s">
        <v>246</v>
      </c>
    </row>
    <row r="81" spans="1:4" x14ac:dyDescent="0.25">
      <c r="A81" s="2" t="s">
        <v>247</v>
      </c>
      <c r="B81" s="19">
        <v>450</v>
      </c>
      <c r="C81" s="30" t="s">
        <v>228</v>
      </c>
      <c r="D81" s="30" t="s">
        <v>229</v>
      </c>
    </row>
    <row r="82" spans="1:4" x14ac:dyDescent="0.25">
      <c r="A82" s="2" t="s">
        <v>248</v>
      </c>
      <c r="B82" s="19">
        <v>700</v>
      </c>
      <c r="C82" s="30" t="s">
        <v>228</v>
      </c>
      <c r="D82" s="30" t="s">
        <v>229</v>
      </c>
    </row>
    <row r="83" spans="1:4" x14ac:dyDescent="0.25">
      <c r="A83" s="2" t="s">
        <v>249</v>
      </c>
      <c r="B83" s="19">
        <v>650</v>
      </c>
      <c r="C83" s="30" t="s">
        <v>228</v>
      </c>
      <c r="D83" s="30" t="s">
        <v>229</v>
      </c>
    </row>
    <row r="84" spans="1:4" x14ac:dyDescent="0.25">
      <c r="A84" s="2" t="s">
        <v>250</v>
      </c>
      <c r="B84" s="19">
        <v>250</v>
      </c>
      <c r="C84" s="30" t="s">
        <v>228</v>
      </c>
      <c r="D84" s="30"/>
    </row>
    <row r="86" spans="1:4" x14ac:dyDescent="0.25">
      <c r="A86" s="5" t="s">
        <v>251</v>
      </c>
      <c r="B86" s="6"/>
      <c r="C86" s="6"/>
      <c r="D86" s="6"/>
    </row>
    <row r="87" spans="1:4" x14ac:dyDescent="0.25">
      <c r="A87" s="2" t="s">
        <v>252</v>
      </c>
      <c r="B87" s="33" t="s">
        <v>253</v>
      </c>
      <c r="C87" s="30" t="s">
        <v>254</v>
      </c>
      <c r="D87" s="30" t="s">
        <v>255</v>
      </c>
    </row>
    <row r="88" spans="1:4" x14ac:dyDescent="0.25">
      <c r="A88" s="2" t="s">
        <v>256</v>
      </c>
      <c r="B88" s="21">
        <v>1</v>
      </c>
      <c r="C88" s="30" t="s">
        <v>158</v>
      </c>
      <c r="D88" s="30" t="s">
        <v>257</v>
      </c>
    </row>
    <row r="89" spans="1:4" x14ac:dyDescent="0.25">
      <c r="A89" s="2" t="s">
        <v>258</v>
      </c>
      <c r="B89" s="21">
        <v>3</v>
      </c>
      <c r="C89" s="30" t="s">
        <v>168</v>
      </c>
      <c r="D89" s="30"/>
    </row>
    <row r="90" spans="1:4" x14ac:dyDescent="0.25">
      <c r="A90" s="2" t="s">
        <v>259</v>
      </c>
      <c r="B90" s="19">
        <v>3000</v>
      </c>
      <c r="C90" s="30" t="s">
        <v>260</v>
      </c>
      <c r="D90" s="30" t="s">
        <v>261</v>
      </c>
    </row>
    <row r="91" spans="1:4" x14ac:dyDescent="0.25">
      <c r="A91" s="2" t="s">
        <v>262</v>
      </c>
      <c r="B91" s="21">
        <v>3</v>
      </c>
      <c r="C91" s="30" t="s">
        <v>168</v>
      </c>
      <c r="D91" s="30"/>
    </row>
    <row r="92" spans="1:4" x14ac:dyDescent="0.25">
      <c r="A92" s="2" t="s">
        <v>263</v>
      </c>
      <c r="B92" s="19">
        <v>4500</v>
      </c>
      <c r="C92" s="30" t="s">
        <v>260</v>
      </c>
      <c r="D92" s="30" t="s">
        <v>261</v>
      </c>
    </row>
    <row r="93" spans="1:4" x14ac:dyDescent="0.25">
      <c r="A93" s="2" t="s">
        <v>264</v>
      </c>
      <c r="B93" s="21">
        <v>3</v>
      </c>
      <c r="C93" s="30" t="s">
        <v>168</v>
      </c>
      <c r="D93" s="30"/>
    </row>
    <row r="94" spans="1:4" x14ac:dyDescent="0.25">
      <c r="A94" s="2" t="s">
        <v>265</v>
      </c>
      <c r="B94" s="19">
        <v>300</v>
      </c>
      <c r="C94" s="30" t="s">
        <v>260</v>
      </c>
      <c r="D94" s="30" t="s">
        <v>261</v>
      </c>
    </row>
    <row r="95" spans="1:4" x14ac:dyDescent="0.25">
      <c r="A95" s="2" t="s">
        <v>266</v>
      </c>
      <c r="B95" s="21">
        <v>5</v>
      </c>
      <c r="C95" s="30" t="s">
        <v>168</v>
      </c>
      <c r="D95" s="30"/>
    </row>
    <row r="96" spans="1:4" x14ac:dyDescent="0.25">
      <c r="A96" s="2" t="s">
        <v>267</v>
      </c>
      <c r="B96" s="19">
        <v>3000</v>
      </c>
      <c r="C96" s="30" t="s">
        <v>260</v>
      </c>
      <c r="D96" s="30" t="s">
        <v>261</v>
      </c>
    </row>
    <row r="97" spans="1:4" x14ac:dyDescent="0.25">
      <c r="A97" s="2" t="s">
        <v>268</v>
      </c>
      <c r="B97" s="21">
        <v>5</v>
      </c>
      <c r="C97" s="30" t="s">
        <v>168</v>
      </c>
      <c r="D97" s="30"/>
    </row>
    <row r="98" spans="1:4" x14ac:dyDescent="0.25">
      <c r="A98" s="2" t="s">
        <v>269</v>
      </c>
      <c r="B98" s="19">
        <v>2000</v>
      </c>
      <c r="C98" s="30" t="s">
        <v>260</v>
      </c>
      <c r="D98" s="30" t="s">
        <v>261</v>
      </c>
    </row>
    <row r="99" spans="1:4" x14ac:dyDescent="0.25">
      <c r="A99" s="2" t="s">
        <v>270</v>
      </c>
      <c r="B99" s="21">
        <v>6</v>
      </c>
      <c r="C99" s="30" t="s">
        <v>168</v>
      </c>
      <c r="D99" s="30"/>
    </row>
    <row r="100" spans="1:4" x14ac:dyDescent="0.25">
      <c r="A100" s="2" t="s">
        <v>271</v>
      </c>
      <c r="B100" s="19">
        <v>1000</v>
      </c>
      <c r="C100" s="30" t="s">
        <v>260</v>
      </c>
      <c r="D100" s="30" t="s">
        <v>261</v>
      </c>
    </row>
    <row r="101" spans="1:4" x14ac:dyDescent="0.25">
      <c r="A101" s="2" t="s">
        <v>272</v>
      </c>
      <c r="B101" s="21">
        <v>9</v>
      </c>
      <c r="C101" s="30" t="s">
        <v>168</v>
      </c>
      <c r="D101" s="30"/>
    </row>
    <row r="102" spans="1:4" x14ac:dyDescent="0.25">
      <c r="A102" s="2" t="s">
        <v>273</v>
      </c>
      <c r="B102" s="19">
        <v>3000</v>
      </c>
      <c r="C102" s="30" t="s">
        <v>260</v>
      </c>
      <c r="D102" s="30" t="s">
        <v>261</v>
      </c>
    </row>
    <row r="103" spans="1:4" x14ac:dyDescent="0.25">
      <c r="A103" s="2" t="s">
        <v>274</v>
      </c>
      <c r="B103" s="21">
        <v>10</v>
      </c>
      <c r="C103" s="30" t="s">
        <v>168</v>
      </c>
      <c r="D103" s="30"/>
    </row>
    <row r="104" spans="1:4" x14ac:dyDescent="0.25">
      <c r="A104" s="2" t="s">
        <v>275</v>
      </c>
      <c r="B104" s="19">
        <v>1500</v>
      </c>
      <c r="C104" s="30" t="s">
        <v>260</v>
      </c>
      <c r="D104" s="30" t="s">
        <v>261</v>
      </c>
    </row>
    <row r="106" spans="1:4" x14ac:dyDescent="0.25">
      <c r="A106" s="5" t="s">
        <v>276</v>
      </c>
      <c r="B106" s="6"/>
      <c r="C106" s="6"/>
      <c r="D106" s="6"/>
    </row>
    <row r="107" spans="1:4" x14ac:dyDescent="0.25">
      <c r="A107" s="2" t="s">
        <v>277</v>
      </c>
      <c r="B107" s="20">
        <v>0.2</v>
      </c>
      <c r="C107" s="30" t="s">
        <v>126</v>
      </c>
      <c r="D107" s="30" t="s">
        <v>278</v>
      </c>
    </row>
    <row r="108" spans="1:4" x14ac:dyDescent="0.25">
      <c r="A108" s="2" t="s">
        <v>279</v>
      </c>
      <c r="B108" s="20">
        <v>1</v>
      </c>
      <c r="C108" s="30" t="s">
        <v>126</v>
      </c>
      <c r="D108" s="30"/>
    </row>
    <row r="109" spans="1:4" x14ac:dyDescent="0.25">
      <c r="A109" s="2" t="s">
        <v>280</v>
      </c>
      <c r="B109" s="20">
        <v>0.25</v>
      </c>
      <c r="C109" s="30" t="s">
        <v>126</v>
      </c>
      <c r="D109" s="30" t="s">
        <v>281</v>
      </c>
    </row>
    <row r="110" spans="1:4" x14ac:dyDescent="0.25">
      <c r="A110" s="2" t="s">
        <v>282</v>
      </c>
      <c r="B110" s="21">
        <v>10</v>
      </c>
      <c r="C110" s="30" t="s">
        <v>136</v>
      </c>
      <c r="D110" s="30" t="s">
        <v>283</v>
      </c>
    </row>
    <row r="112" spans="1:4" x14ac:dyDescent="0.25">
      <c r="A112" s="5" t="s">
        <v>284</v>
      </c>
      <c r="B112" s="6"/>
      <c r="C112" s="6"/>
      <c r="D112" s="6"/>
    </row>
    <row r="113" spans="1:4" x14ac:dyDescent="0.25">
      <c r="A113" s="2" t="s">
        <v>285</v>
      </c>
      <c r="B113" s="19">
        <v>0</v>
      </c>
      <c r="C113" s="30" t="s">
        <v>62</v>
      </c>
      <c r="D113" s="30"/>
    </row>
    <row r="114" spans="1:4" x14ac:dyDescent="0.25">
      <c r="A114" s="2" t="s">
        <v>286</v>
      </c>
      <c r="B114" s="17">
        <v>150000</v>
      </c>
      <c r="C114" s="30" t="s">
        <v>62</v>
      </c>
      <c r="D114" s="30" t="s">
        <v>287</v>
      </c>
    </row>
    <row r="115" spans="1:4" x14ac:dyDescent="0.25">
      <c r="A115" s="2" t="s">
        <v>288</v>
      </c>
      <c r="B115" s="21">
        <v>0</v>
      </c>
      <c r="C115" s="30" t="s">
        <v>136</v>
      </c>
      <c r="D115" s="30" t="s">
        <v>289</v>
      </c>
    </row>
    <row r="116" spans="1:4" x14ac:dyDescent="0.25">
      <c r="A116" s="2" t="s">
        <v>290</v>
      </c>
      <c r="B116" s="34">
        <v>6</v>
      </c>
      <c r="C116" s="30" t="s">
        <v>136</v>
      </c>
      <c r="D116" s="30" t="s">
        <v>291</v>
      </c>
    </row>
    <row r="117" spans="1:4" x14ac:dyDescent="0.25">
      <c r="A117" s="2" t="s">
        <v>292</v>
      </c>
      <c r="B117" s="19">
        <v>50000</v>
      </c>
      <c r="C117" s="30" t="s">
        <v>62</v>
      </c>
      <c r="D117" s="30"/>
    </row>
    <row r="118" spans="1:4" x14ac:dyDescent="0.25">
      <c r="A118" s="2" t="s">
        <v>293</v>
      </c>
      <c r="B118" s="19">
        <v>600000</v>
      </c>
      <c r="C118" s="30" t="s">
        <v>62</v>
      </c>
      <c r="D118" s="30" t="s">
        <v>294</v>
      </c>
    </row>
    <row r="119" spans="1:4" x14ac:dyDescent="0.25">
      <c r="A119" s="2" t="s">
        <v>67</v>
      </c>
      <c r="B119" s="12">
        <f>IF($B$118&gt;0,$B$118,Summary!$C$51)</f>
        <v>600000</v>
      </c>
      <c r="C119" s="30" t="s">
        <v>62</v>
      </c>
      <c r="D119" s="30" t="s">
        <v>295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L107"/>
  <sheetViews>
    <sheetView showGridLines="0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ColWidth="8.7109375" defaultRowHeight="15" outlineLevelRow="1" x14ac:dyDescent="0.25"/>
  <cols>
    <col min="1" max="1" width="50" customWidth="1"/>
    <col min="2" max="2" width="2" customWidth="1"/>
    <col min="3" max="38" width="11" customWidth="1"/>
  </cols>
  <sheetData>
    <row r="1" spans="1:38" ht="18" x14ac:dyDescent="0.25">
      <c r="A1" s="1" t="s">
        <v>296</v>
      </c>
    </row>
    <row r="2" spans="1:38" x14ac:dyDescent="0.25">
      <c r="A2" s="35" t="str">
        <f>" Enterprise delay applied: "&amp;Assumptions!$B$115&amp;" months"</f>
        <v xml:space="preserve"> Enterprise delay applied: 0 months</v>
      </c>
    </row>
    <row r="5" spans="1:38" x14ac:dyDescent="0.25">
      <c r="A5" s="5" t="s">
        <v>297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</row>
    <row r="6" spans="1:38" x14ac:dyDescent="0.25">
      <c r="A6" s="36" t="s">
        <v>91</v>
      </c>
      <c r="C6" s="37">
        <v>1</v>
      </c>
      <c r="D6" s="37">
        <v>2</v>
      </c>
      <c r="E6" s="37">
        <v>3</v>
      </c>
      <c r="F6" s="37">
        <v>4</v>
      </c>
      <c r="G6" s="37">
        <v>5</v>
      </c>
      <c r="H6" s="37">
        <v>6</v>
      </c>
      <c r="I6" s="37">
        <v>7</v>
      </c>
      <c r="J6" s="37">
        <v>8</v>
      </c>
      <c r="K6" s="37">
        <v>9</v>
      </c>
      <c r="L6" s="37">
        <v>10</v>
      </c>
      <c r="M6" s="37">
        <v>11</v>
      </c>
      <c r="N6" s="37">
        <v>12</v>
      </c>
      <c r="O6" s="37">
        <v>13</v>
      </c>
      <c r="P6" s="37">
        <v>14</v>
      </c>
      <c r="Q6" s="37">
        <v>15</v>
      </c>
      <c r="R6" s="37">
        <v>16</v>
      </c>
      <c r="S6" s="37">
        <v>17</v>
      </c>
      <c r="T6" s="37">
        <v>18</v>
      </c>
      <c r="U6" s="37">
        <v>19</v>
      </c>
      <c r="V6" s="37">
        <v>20</v>
      </c>
      <c r="W6" s="37">
        <v>21</v>
      </c>
      <c r="X6" s="37">
        <v>22</v>
      </c>
      <c r="Y6" s="37">
        <v>23</v>
      </c>
      <c r="Z6" s="37">
        <v>24</v>
      </c>
      <c r="AA6" s="37">
        <v>25</v>
      </c>
      <c r="AB6" s="37">
        <v>26</v>
      </c>
      <c r="AC6" s="37">
        <v>27</v>
      </c>
      <c r="AD6" s="37">
        <v>28</v>
      </c>
      <c r="AE6" s="37">
        <v>29</v>
      </c>
      <c r="AF6" s="37">
        <v>30</v>
      </c>
      <c r="AG6" s="37">
        <v>31</v>
      </c>
      <c r="AH6" s="37">
        <v>32</v>
      </c>
      <c r="AI6" s="37">
        <v>33</v>
      </c>
      <c r="AJ6" s="37">
        <v>34</v>
      </c>
      <c r="AK6" s="37">
        <v>35</v>
      </c>
      <c r="AL6" s="37">
        <v>36</v>
      </c>
    </row>
    <row r="7" spans="1:38" x14ac:dyDescent="0.25">
      <c r="A7" s="2" t="s">
        <v>298</v>
      </c>
      <c r="C7" s="38">
        <f t="shared" ref="C7:AL7" si="0">ROUNDUP(C6/12,0)</f>
        <v>1</v>
      </c>
      <c r="D7" s="38">
        <f t="shared" si="0"/>
        <v>1</v>
      </c>
      <c r="E7" s="38">
        <f t="shared" si="0"/>
        <v>1</v>
      </c>
      <c r="F7" s="38">
        <f t="shared" si="0"/>
        <v>1</v>
      </c>
      <c r="G7" s="38">
        <f t="shared" si="0"/>
        <v>1</v>
      </c>
      <c r="H7" s="38">
        <f t="shared" si="0"/>
        <v>1</v>
      </c>
      <c r="I7" s="38">
        <f t="shared" si="0"/>
        <v>1</v>
      </c>
      <c r="J7" s="38">
        <f t="shared" si="0"/>
        <v>1</v>
      </c>
      <c r="K7" s="38">
        <f t="shared" si="0"/>
        <v>1</v>
      </c>
      <c r="L7" s="38">
        <f t="shared" si="0"/>
        <v>1</v>
      </c>
      <c r="M7" s="38">
        <f t="shared" si="0"/>
        <v>1</v>
      </c>
      <c r="N7" s="38">
        <f t="shared" si="0"/>
        <v>1</v>
      </c>
      <c r="O7" s="38">
        <f t="shared" si="0"/>
        <v>2</v>
      </c>
      <c r="P7" s="38">
        <f t="shared" si="0"/>
        <v>2</v>
      </c>
      <c r="Q7" s="38">
        <f t="shared" si="0"/>
        <v>2</v>
      </c>
      <c r="R7" s="38">
        <f t="shared" si="0"/>
        <v>2</v>
      </c>
      <c r="S7" s="38">
        <f t="shared" si="0"/>
        <v>2</v>
      </c>
      <c r="T7" s="38">
        <f t="shared" si="0"/>
        <v>2</v>
      </c>
      <c r="U7" s="38">
        <f t="shared" si="0"/>
        <v>2</v>
      </c>
      <c r="V7" s="38">
        <f t="shared" si="0"/>
        <v>2</v>
      </c>
      <c r="W7" s="38">
        <f t="shared" si="0"/>
        <v>2</v>
      </c>
      <c r="X7" s="38">
        <f t="shared" si="0"/>
        <v>2</v>
      </c>
      <c r="Y7" s="38">
        <f t="shared" si="0"/>
        <v>2</v>
      </c>
      <c r="Z7" s="38">
        <f t="shared" si="0"/>
        <v>2</v>
      </c>
      <c r="AA7" s="38">
        <f t="shared" si="0"/>
        <v>3</v>
      </c>
      <c r="AB7" s="38">
        <f t="shared" si="0"/>
        <v>3</v>
      </c>
      <c r="AC7" s="38">
        <f t="shared" si="0"/>
        <v>3</v>
      </c>
      <c r="AD7" s="38">
        <f t="shared" si="0"/>
        <v>3</v>
      </c>
      <c r="AE7" s="38">
        <f t="shared" si="0"/>
        <v>3</v>
      </c>
      <c r="AF7" s="38">
        <f t="shared" si="0"/>
        <v>3</v>
      </c>
      <c r="AG7" s="38">
        <f t="shared" si="0"/>
        <v>3</v>
      </c>
      <c r="AH7" s="38">
        <f t="shared" si="0"/>
        <v>3</v>
      </c>
      <c r="AI7" s="38">
        <f t="shared" si="0"/>
        <v>3</v>
      </c>
      <c r="AJ7" s="38">
        <f t="shared" si="0"/>
        <v>3</v>
      </c>
      <c r="AK7" s="38">
        <f t="shared" si="0"/>
        <v>3</v>
      </c>
      <c r="AL7" s="38">
        <f t="shared" si="0"/>
        <v>3</v>
      </c>
    </row>
    <row r="9" spans="1:38" x14ac:dyDescent="0.25">
      <c r="A9" s="5" t="s">
        <v>299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</row>
    <row r="10" spans="1:38" hidden="1" outlineLevel="1" x14ac:dyDescent="0.25">
      <c r="A10" s="39" t="s">
        <v>300</v>
      </c>
      <c r="C10" s="40">
        <f>Assumptions!$B$8*Assumptions!$B$12*INDEX(Assumptions!$B$13:$B$15,C7)/12</f>
        <v>12.5</v>
      </c>
      <c r="D10" s="40">
        <f>Assumptions!$B$8*Assumptions!$B$12*INDEX(Assumptions!$B$13:$B$15,D7)/12</f>
        <v>12.5</v>
      </c>
      <c r="E10" s="40">
        <f>Assumptions!$B$8*Assumptions!$B$12*INDEX(Assumptions!$B$13:$B$15,E7)/12</f>
        <v>12.5</v>
      </c>
      <c r="F10" s="40">
        <f>Assumptions!$B$8*Assumptions!$B$12*INDEX(Assumptions!$B$13:$B$15,F7)/12</f>
        <v>12.5</v>
      </c>
      <c r="G10" s="40">
        <f>Assumptions!$B$8*Assumptions!$B$12*INDEX(Assumptions!$B$13:$B$15,G7)/12</f>
        <v>12.5</v>
      </c>
      <c r="H10" s="40">
        <f>Assumptions!$B$8*Assumptions!$B$12*INDEX(Assumptions!$B$13:$B$15,H7)/12</f>
        <v>12.5</v>
      </c>
      <c r="I10" s="40">
        <f>Assumptions!$B$8*Assumptions!$B$12*INDEX(Assumptions!$B$13:$B$15,I7)/12</f>
        <v>12.5</v>
      </c>
      <c r="J10" s="40">
        <f>Assumptions!$B$8*Assumptions!$B$12*INDEX(Assumptions!$B$13:$B$15,J7)/12</f>
        <v>12.5</v>
      </c>
      <c r="K10" s="40">
        <f>Assumptions!$B$8*Assumptions!$B$12*INDEX(Assumptions!$B$13:$B$15,K7)/12</f>
        <v>12.5</v>
      </c>
      <c r="L10" s="40">
        <f>Assumptions!$B$8*Assumptions!$B$12*INDEX(Assumptions!$B$13:$B$15,L7)/12</f>
        <v>12.5</v>
      </c>
      <c r="M10" s="40">
        <f>Assumptions!$B$8*Assumptions!$B$12*INDEX(Assumptions!$B$13:$B$15,M7)/12</f>
        <v>12.5</v>
      </c>
      <c r="N10" s="40">
        <f>Assumptions!$B$8*Assumptions!$B$12*INDEX(Assumptions!$B$13:$B$15,N7)/12</f>
        <v>12.5</v>
      </c>
      <c r="O10" s="40">
        <f>Assumptions!$B$8*Assumptions!$B$12*INDEX(Assumptions!$B$13:$B$15,O7)/12</f>
        <v>36.458333333333336</v>
      </c>
      <c r="P10" s="40">
        <f>Assumptions!$B$8*Assumptions!$B$12*INDEX(Assumptions!$B$13:$B$15,P7)/12</f>
        <v>36.458333333333336</v>
      </c>
      <c r="Q10" s="40">
        <f>Assumptions!$B$8*Assumptions!$B$12*INDEX(Assumptions!$B$13:$B$15,Q7)/12</f>
        <v>36.458333333333336</v>
      </c>
      <c r="R10" s="40">
        <f>Assumptions!$B$8*Assumptions!$B$12*INDEX(Assumptions!$B$13:$B$15,R7)/12</f>
        <v>36.458333333333336</v>
      </c>
      <c r="S10" s="40">
        <f>Assumptions!$B$8*Assumptions!$B$12*INDEX(Assumptions!$B$13:$B$15,S7)/12</f>
        <v>36.458333333333336</v>
      </c>
      <c r="T10" s="40">
        <f>Assumptions!$B$8*Assumptions!$B$12*INDEX(Assumptions!$B$13:$B$15,T7)/12</f>
        <v>36.458333333333336</v>
      </c>
      <c r="U10" s="40">
        <f>Assumptions!$B$8*Assumptions!$B$12*INDEX(Assumptions!$B$13:$B$15,U7)/12</f>
        <v>36.458333333333336</v>
      </c>
      <c r="V10" s="40">
        <f>Assumptions!$B$8*Assumptions!$B$12*INDEX(Assumptions!$B$13:$B$15,V7)/12</f>
        <v>36.458333333333336</v>
      </c>
      <c r="W10" s="40">
        <f>Assumptions!$B$8*Assumptions!$B$12*INDEX(Assumptions!$B$13:$B$15,W7)/12</f>
        <v>36.458333333333336</v>
      </c>
      <c r="X10" s="40">
        <f>Assumptions!$B$8*Assumptions!$B$12*INDEX(Assumptions!$B$13:$B$15,X7)/12</f>
        <v>36.458333333333336</v>
      </c>
      <c r="Y10" s="40">
        <f>Assumptions!$B$8*Assumptions!$B$12*INDEX(Assumptions!$B$13:$B$15,Y7)/12</f>
        <v>36.458333333333336</v>
      </c>
      <c r="Z10" s="40">
        <f>Assumptions!$B$8*Assumptions!$B$12*INDEX(Assumptions!$B$13:$B$15,Z7)/12</f>
        <v>36.458333333333336</v>
      </c>
      <c r="AA10" s="40">
        <f>Assumptions!$B$8*Assumptions!$B$12*INDEX(Assumptions!$B$13:$B$15,AA7)/12</f>
        <v>55.208333333333336</v>
      </c>
      <c r="AB10" s="40">
        <f>Assumptions!$B$8*Assumptions!$B$12*INDEX(Assumptions!$B$13:$B$15,AB7)/12</f>
        <v>55.208333333333336</v>
      </c>
      <c r="AC10" s="40">
        <f>Assumptions!$B$8*Assumptions!$B$12*INDEX(Assumptions!$B$13:$B$15,AC7)/12</f>
        <v>55.208333333333336</v>
      </c>
      <c r="AD10" s="40">
        <f>Assumptions!$B$8*Assumptions!$B$12*INDEX(Assumptions!$B$13:$B$15,AD7)/12</f>
        <v>55.208333333333336</v>
      </c>
      <c r="AE10" s="40">
        <f>Assumptions!$B$8*Assumptions!$B$12*INDEX(Assumptions!$B$13:$B$15,AE7)/12</f>
        <v>55.208333333333336</v>
      </c>
      <c r="AF10" s="40">
        <f>Assumptions!$B$8*Assumptions!$B$12*INDEX(Assumptions!$B$13:$B$15,AF7)/12</f>
        <v>55.208333333333336</v>
      </c>
      <c r="AG10" s="40">
        <f>Assumptions!$B$8*Assumptions!$B$12*INDEX(Assumptions!$B$13:$B$15,AG7)/12</f>
        <v>55.208333333333336</v>
      </c>
      <c r="AH10" s="40">
        <f>Assumptions!$B$8*Assumptions!$B$12*INDEX(Assumptions!$B$13:$B$15,AH7)/12</f>
        <v>55.208333333333336</v>
      </c>
      <c r="AI10" s="40">
        <f>Assumptions!$B$8*Assumptions!$B$12*INDEX(Assumptions!$B$13:$B$15,AI7)/12</f>
        <v>55.208333333333336</v>
      </c>
      <c r="AJ10" s="40">
        <f>Assumptions!$B$8*Assumptions!$B$12*INDEX(Assumptions!$B$13:$B$15,AJ7)/12</f>
        <v>55.208333333333336</v>
      </c>
      <c r="AK10" s="40">
        <f>Assumptions!$B$8*Assumptions!$B$12*INDEX(Assumptions!$B$13:$B$15,AK7)/12</f>
        <v>55.208333333333336</v>
      </c>
      <c r="AL10" s="40">
        <f>Assumptions!$B$8*Assumptions!$B$12*INDEX(Assumptions!$B$13:$B$15,AL7)/12</f>
        <v>55.208333333333336</v>
      </c>
    </row>
    <row r="11" spans="1:38" hidden="1" outlineLevel="1" x14ac:dyDescent="0.25">
      <c r="A11" s="39" t="s">
        <v>301</v>
      </c>
      <c r="C11" s="40">
        <f>0+C10</f>
        <v>12.5</v>
      </c>
      <c r="D11" s="40">
        <f t="shared" ref="D11:AL11" si="1">C11+D10</f>
        <v>25</v>
      </c>
      <c r="E11" s="40">
        <f t="shared" si="1"/>
        <v>37.5</v>
      </c>
      <c r="F11" s="40">
        <f t="shared" si="1"/>
        <v>50</v>
      </c>
      <c r="G11" s="40">
        <f t="shared" si="1"/>
        <v>62.5</v>
      </c>
      <c r="H11" s="40">
        <f t="shared" si="1"/>
        <v>75</v>
      </c>
      <c r="I11" s="40">
        <f t="shared" si="1"/>
        <v>87.5</v>
      </c>
      <c r="J11" s="40">
        <f t="shared" si="1"/>
        <v>100</v>
      </c>
      <c r="K11" s="40">
        <f t="shared" si="1"/>
        <v>112.5</v>
      </c>
      <c r="L11" s="40">
        <f t="shared" si="1"/>
        <v>125</v>
      </c>
      <c r="M11" s="40">
        <f t="shared" si="1"/>
        <v>137.5</v>
      </c>
      <c r="N11" s="40">
        <f t="shared" si="1"/>
        <v>150</v>
      </c>
      <c r="O11" s="40">
        <f t="shared" si="1"/>
        <v>186.45833333333334</v>
      </c>
      <c r="P11" s="40">
        <f t="shared" si="1"/>
        <v>222.91666666666669</v>
      </c>
      <c r="Q11" s="40">
        <f t="shared" si="1"/>
        <v>259.375</v>
      </c>
      <c r="R11" s="40">
        <f t="shared" si="1"/>
        <v>295.83333333333331</v>
      </c>
      <c r="S11" s="40">
        <f t="shared" si="1"/>
        <v>332.29166666666663</v>
      </c>
      <c r="T11" s="40">
        <f t="shared" si="1"/>
        <v>368.74999999999994</v>
      </c>
      <c r="U11" s="40">
        <f t="shared" si="1"/>
        <v>405.20833333333326</v>
      </c>
      <c r="V11" s="40">
        <f t="shared" si="1"/>
        <v>441.66666666666657</v>
      </c>
      <c r="W11" s="40">
        <f t="shared" si="1"/>
        <v>478.12499999999989</v>
      </c>
      <c r="X11" s="40">
        <f t="shared" si="1"/>
        <v>514.58333333333326</v>
      </c>
      <c r="Y11" s="40">
        <f t="shared" si="1"/>
        <v>551.04166666666663</v>
      </c>
      <c r="Z11" s="40">
        <f t="shared" si="1"/>
        <v>587.5</v>
      </c>
      <c r="AA11" s="40">
        <f t="shared" si="1"/>
        <v>642.70833333333337</v>
      </c>
      <c r="AB11" s="40">
        <f t="shared" si="1"/>
        <v>697.91666666666674</v>
      </c>
      <c r="AC11" s="40">
        <f t="shared" si="1"/>
        <v>753.12500000000011</v>
      </c>
      <c r="AD11" s="40">
        <f t="shared" si="1"/>
        <v>808.33333333333348</v>
      </c>
      <c r="AE11" s="40">
        <f t="shared" si="1"/>
        <v>863.54166666666686</v>
      </c>
      <c r="AF11" s="40">
        <f t="shared" si="1"/>
        <v>918.75000000000023</v>
      </c>
      <c r="AG11" s="40">
        <f t="shared" si="1"/>
        <v>973.9583333333336</v>
      </c>
      <c r="AH11" s="40">
        <f t="shared" si="1"/>
        <v>1029.166666666667</v>
      </c>
      <c r="AI11" s="40">
        <f t="shared" si="1"/>
        <v>1084.3750000000002</v>
      </c>
      <c r="AJ11" s="40">
        <f t="shared" si="1"/>
        <v>1139.5833333333335</v>
      </c>
      <c r="AK11" s="40">
        <f t="shared" si="1"/>
        <v>1194.7916666666667</v>
      </c>
      <c r="AL11" s="40">
        <f t="shared" si="1"/>
        <v>1250</v>
      </c>
    </row>
    <row r="12" spans="1:38" x14ac:dyDescent="0.25">
      <c r="A12" s="2" t="s">
        <v>302</v>
      </c>
      <c r="C12" s="15">
        <f>ROUND(C11,0)-ROUND(0,0)</f>
        <v>13</v>
      </c>
      <c r="D12" s="15">
        <f t="shared" ref="D12:AL12" si="2">ROUND(D11,0)-ROUND(C11,0)</f>
        <v>12</v>
      </c>
      <c r="E12" s="15">
        <f t="shared" si="2"/>
        <v>13</v>
      </c>
      <c r="F12" s="15">
        <f t="shared" si="2"/>
        <v>12</v>
      </c>
      <c r="G12" s="15">
        <f t="shared" si="2"/>
        <v>13</v>
      </c>
      <c r="H12" s="15">
        <f t="shared" si="2"/>
        <v>12</v>
      </c>
      <c r="I12" s="15">
        <f t="shared" si="2"/>
        <v>13</v>
      </c>
      <c r="J12" s="15">
        <f t="shared" si="2"/>
        <v>12</v>
      </c>
      <c r="K12" s="15">
        <f t="shared" si="2"/>
        <v>13</v>
      </c>
      <c r="L12" s="15">
        <f t="shared" si="2"/>
        <v>12</v>
      </c>
      <c r="M12" s="15">
        <f t="shared" si="2"/>
        <v>13</v>
      </c>
      <c r="N12" s="15">
        <f t="shared" si="2"/>
        <v>12</v>
      </c>
      <c r="O12" s="15">
        <f t="shared" si="2"/>
        <v>36</v>
      </c>
      <c r="P12" s="15">
        <f t="shared" si="2"/>
        <v>37</v>
      </c>
      <c r="Q12" s="15">
        <f t="shared" si="2"/>
        <v>36</v>
      </c>
      <c r="R12" s="15">
        <f t="shared" si="2"/>
        <v>37</v>
      </c>
      <c r="S12" s="15">
        <f t="shared" si="2"/>
        <v>36</v>
      </c>
      <c r="T12" s="15">
        <f t="shared" si="2"/>
        <v>37</v>
      </c>
      <c r="U12" s="15">
        <f t="shared" si="2"/>
        <v>36</v>
      </c>
      <c r="V12" s="15">
        <f t="shared" si="2"/>
        <v>37</v>
      </c>
      <c r="W12" s="15">
        <f t="shared" si="2"/>
        <v>36</v>
      </c>
      <c r="X12" s="15">
        <f t="shared" si="2"/>
        <v>37</v>
      </c>
      <c r="Y12" s="15">
        <f t="shared" si="2"/>
        <v>36</v>
      </c>
      <c r="Z12" s="15">
        <f t="shared" si="2"/>
        <v>37</v>
      </c>
      <c r="AA12" s="15">
        <f t="shared" si="2"/>
        <v>55</v>
      </c>
      <c r="AB12" s="15">
        <f t="shared" si="2"/>
        <v>55</v>
      </c>
      <c r="AC12" s="15">
        <f t="shared" si="2"/>
        <v>55</v>
      </c>
      <c r="AD12" s="15">
        <f t="shared" si="2"/>
        <v>55</v>
      </c>
      <c r="AE12" s="15">
        <f t="shared" si="2"/>
        <v>56</v>
      </c>
      <c r="AF12" s="15">
        <f t="shared" si="2"/>
        <v>55</v>
      </c>
      <c r="AG12" s="15">
        <f t="shared" si="2"/>
        <v>55</v>
      </c>
      <c r="AH12" s="15">
        <f t="shared" si="2"/>
        <v>55</v>
      </c>
      <c r="AI12" s="15">
        <f t="shared" si="2"/>
        <v>55</v>
      </c>
      <c r="AJ12" s="15">
        <f t="shared" si="2"/>
        <v>56</v>
      </c>
      <c r="AK12" s="15">
        <f t="shared" si="2"/>
        <v>55</v>
      </c>
      <c r="AL12" s="15">
        <f t="shared" si="2"/>
        <v>55</v>
      </c>
    </row>
    <row r="13" spans="1:38" hidden="1" outlineLevel="1" x14ac:dyDescent="0.25">
      <c r="A13" s="39" t="s">
        <v>303</v>
      </c>
      <c r="C13" s="40">
        <f>C12*Assumptions!$B$16</f>
        <v>0.78</v>
      </c>
      <c r="D13" s="40">
        <f>D12*Assumptions!$B$16</f>
        <v>0.72</v>
      </c>
      <c r="E13" s="40">
        <f>E12*Assumptions!$B$16</f>
        <v>0.78</v>
      </c>
      <c r="F13" s="40">
        <f>F12*Assumptions!$B$16</f>
        <v>0.72</v>
      </c>
      <c r="G13" s="40">
        <f>G12*Assumptions!$B$16</f>
        <v>0.78</v>
      </c>
      <c r="H13" s="40">
        <f>H12*Assumptions!$B$16</f>
        <v>0.72</v>
      </c>
      <c r="I13" s="40">
        <f>I12*Assumptions!$B$16</f>
        <v>0.78</v>
      </c>
      <c r="J13" s="40">
        <f>J12*Assumptions!$B$16</f>
        <v>0.72</v>
      </c>
      <c r="K13" s="40">
        <f>K12*Assumptions!$B$16</f>
        <v>0.78</v>
      </c>
      <c r="L13" s="40">
        <f>L12*Assumptions!$B$16</f>
        <v>0.72</v>
      </c>
      <c r="M13" s="40">
        <f>M12*Assumptions!$B$16</f>
        <v>0.78</v>
      </c>
      <c r="N13" s="40">
        <f>N12*Assumptions!$B$16</f>
        <v>0.72</v>
      </c>
      <c r="O13" s="40">
        <f>O12*Assumptions!$B$16</f>
        <v>2.16</v>
      </c>
      <c r="P13" s="40">
        <f>P12*Assumptions!$B$16</f>
        <v>2.2199999999999998</v>
      </c>
      <c r="Q13" s="40">
        <f>Q12*Assumptions!$B$16</f>
        <v>2.16</v>
      </c>
      <c r="R13" s="40">
        <f>R12*Assumptions!$B$16</f>
        <v>2.2199999999999998</v>
      </c>
      <c r="S13" s="40">
        <f>S12*Assumptions!$B$16</f>
        <v>2.16</v>
      </c>
      <c r="T13" s="40">
        <f>T12*Assumptions!$B$16</f>
        <v>2.2199999999999998</v>
      </c>
      <c r="U13" s="40">
        <f>U12*Assumptions!$B$16</f>
        <v>2.16</v>
      </c>
      <c r="V13" s="40">
        <f>V12*Assumptions!$B$16</f>
        <v>2.2199999999999998</v>
      </c>
      <c r="W13" s="40">
        <f>W12*Assumptions!$B$16</f>
        <v>2.16</v>
      </c>
      <c r="X13" s="40">
        <f>X12*Assumptions!$B$16</f>
        <v>2.2199999999999998</v>
      </c>
      <c r="Y13" s="40">
        <f>Y12*Assumptions!$B$16</f>
        <v>2.16</v>
      </c>
      <c r="Z13" s="40">
        <f>Z12*Assumptions!$B$16</f>
        <v>2.2199999999999998</v>
      </c>
      <c r="AA13" s="40">
        <f>AA12*Assumptions!$B$16</f>
        <v>3.3</v>
      </c>
      <c r="AB13" s="40">
        <f>AB12*Assumptions!$B$16</f>
        <v>3.3</v>
      </c>
      <c r="AC13" s="40">
        <f>AC12*Assumptions!$B$16</f>
        <v>3.3</v>
      </c>
      <c r="AD13" s="40">
        <f>AD12*Assumptions!$B$16</f>
        <v>3.3</v>
      </c>
      <c r="AE13" s="40">
        <f>AE12*Assumptions!$B$16</f>
        <v>3.36</v>
      </c>
      <c r="AF13" s="40">
        <f>AF12*Assumptions!$B$16</f>
        <v>3.3</v>
      </c>
      <c r="AG13" s="40">
        <f>AG12*Assumptions!$B$16</f>
        <v>3.3</v>
      </c>
      <c r="AH13" s="40">
        <f>AH12*Assumptions!$B$16</f>
        <v>3.3</v>
      </c>
      <c r="AI13" s="40">
        <f>AI12*Assumptions!$B$16</f>
        <v>3.3</v>
      </c>
      <c r="AJ13" s="40">
        <f>AJ12*Assumptions!$B$16</f>
        <v>3.36</v>
      </c>
      <c r="AK13" s="40">
        <f>AK12*Assumptions!$B$16</f>
        <v>3.3</v>
      </c>
      <c r="AL13" s="40">
        <f>AL12*Assumptions!$B$16</f>
        <v>3.3</v>
      </c>
    </row>
    <row r="14" spans="1:38" hidden="1" outlineLevel="1" x14ac:dyDescent="0.25">
      <c r="A14" s="39" t="s">
        <v>304</v>
      </c>
      <c r="C14" s="40">
        <f>0+C13</f>
        <v>0.78</v>
      </c>
      <c r="D14" s="40">
        <f t="shared" ref="D14:AL14" si="3">C14+D13</f>
        <v>1.5</v>
      </c>
      <c r="E14" s="40">
        <f t="shared" si="3"/>
        <v>2.2800000000000002</v>
      </c>
      <c r="F14" s="40">
        <f t="shared" si="3"/>
        <v>3</v>
      </c>
      <c r="G14" s="40">
        <f t="shared" si="3"/>
        <v>3.7800000000000002</v>
      </c>
      <c r="H14" s="40">
        <f t="shared" si="3"/>
        <v>4.5</v>
      </c>
      <c r="I14" s="40">
        <f t="shared" si="3"/>
        <v>5.28</v>
      </c>
      <c r="J14" s="40">
        <f t="shared" si="3"/>
        <v>6</v>
      </c>
      <c r="K14" s="40">
        <f t="shared" si="3"/>
        <v>6.78</v>
      </c>
      <c r="L14" s="40">
        <f t="shared" si="3"/>
        <v>7.5</v>
      </c>
      <c r="M14" s="40">
        <f t="shared" si="3"/>
        <v>8.2799999999999994</v>
      </c>
      <c r="N14" s="40">
        <f t="shared" si="3"/>
        <v>9</v>
      </c>
      <c r="O14" s="40">
        <f t="shared" si="3"/>
        <v>11.16</v>
      </c>
      <c r="P14" s="40">
        <f t="shared" si="3"/>
        <v>13.379999999999999</v>
      </c>
      <c r="Q14" s="40">
        <f t="shared" si="3"/>
        <v>15.54</v>
      </c>
      <c r="R14" s="40">
        <f t="shared" si="3"/>
        <v>17.759999999999998</v>
      </c>
      <c r="S14" s="40">
        <f t="shared" si="3"/>
        <v>19.919999999999998</v>
      </c>
      <c r="T14" s="40">
        <f t="shared" si="3"/>
        <v>22.139999999999997</v>
      </c>
      <c r="U14" s="40">
        <f t="shared" si="3"/>
        <v>24.299999999999997</v>
      </c>
      <c r="V14" s="40">
        <f t="shared" si="3"/>
        <v>26.519999999999996</v>
      </c>
      <c r="W14" s="40">
        <f t="shared" si="3"/>
        <v>28.679999999999996</v>
      </c>
      <c r="X14" s="40">
        <f t="shared" si="3"/>
        <v>30.899999999999995</v>
      </c>
      <c r="Y14" s="40">
        <f t="shared" si="3"/>
        <v>33.059999999999995</v>
      </c>
      <c r="Z14" s="40">
        <f t="shared" si="3"/>
        <v>35.279999999999994</v>
      </c>
      <c r="AA14" s="40">
        <f t="shared" si="3"/>
        <v>38.579999999999991</v>
      </c>
      <c r="AB14" s="40">
        <f t="shared" si="3"/>
        <v>41.879999999999988</v>
      </c>
      <c r="AC14" s="40">
        <f t="shared" si="3"/>
        <v>45.179999999999986</v>
      </c>
      <c r="AD14" s="40">
        <f t="shared" si="3"/>
        <v>48.479999999999983</v>
      </c>
      <c r="AE14" s="40">
        <f t="shared" si="3"/>
        <v>51.839999999999982</v>
      </c>
      <c r="AF14" s="40">
        <f t="shared" si="3"/>
        <v>55.139999999999979</v>
      </c>
      <c r="AG14" s="40">
        <f t="shared" si="3"/>
        <v>58.439999999999976</v>
      </c>
      <c r="AH14" s="40">
        <f t="shared" si="3"/>
        <v>61.739999999999974</v>
      </c>
      <c r="AI14" s="40">
        <f t="shared" si="3"/>
        <v>65.039999999999978</v>
      </c>
      <c r="AJ14" s="40">
        <f t="shared" si="3"/>
        <v>68.399999999999977</v>
      </c>
      <c r="AK14" s="40">
        <f t="shared" si="3"/>
        <v>71.699999999999974</v>
      </c>
      <c r="AL14" s="40">
        <f t="shared" si="3"/>
        <v>74.999999999999972</v>
      </c>
    </row>
    <row r="15" spans="1:38" x14ac:dyDescent="0.25">
      <c r="A15" s="2" t="s">
        <v>24</v>
      </c>
      <c r="C15" s="15">
        <f>ROUND(C14,0)-ROUND(0,0)</f>
        <v>1</v>
      </c>
      <c r="D15" s="15">
        <f t="shared" ref="D15:AL15" si="4">ROUND(D14,0)-ROUND(C14,0)</f>
        <v>1</v>
      </c>
      <c r="E15" s="15">
        <f t="shared" si="4"/>
        <v>0</v>
      </c>
      <c r="F15" s="15">
        <f t="shared" si="4"/>
        <v>1</v>
      </c>
      <c r="G15" s="15">
        <f t="shared" si="4"/>
        <v>1</v>
      </c>
      <c r="H15" s="15">
        <f t="shared" si="4"/>
        <v>1</v>
      </c>
      <c r="I15" s="15">
        <f t="shared" si="4"/>
        <v>0</v>
      </c>
      <c r="J15" s="15">
        <f t="shared" si="4"/>
        <v>1</v>
      </c>
      <c r="K15" s="15">
        <f t="shared" si="4"/>
        <v>1</v>
      </c>
      <c r="L15" s="15">
        <f t="shared" si="4"/>
        <v>1</v>
      </c>
      <c r="M15" s="15">
        <f t="shared" si="4"/>
        <v>0</v>
      </c>
      <c r="N15" s="15">
        <f t="shared" si="4"/>
        <v>1</v>
      </c>
      <c r="O15" s="15">
        <f t="shared" si="4"/>
        <v>2</v>
      </c>
      <c r="P15" s="15">
        <f t="shared" si="4"/>
        <v>2</v>
      </c>
      <c r="Q15" s="15">
        <f t="shared" si="4"/>
        <v>3</v>
      </c>
      <c r="R15" s="15">
        <f t="shared" si="4"/>
        <v>2</v>
      </c>
      <c r="S15" s="15">
        <f t="shared" si="4"/>
        <v>2</v>
      </c>
      <c r="T15" s="15">
        <f t="shared" si="4"/>
        <v>2</v>
      </c>
      <c r="U15" s="15">
        <f t="shared" si="4"/>
        <v>2</v>
      </c>
      <c r="V15" s="15">
        <f t="shared" si="4"/>
        <v>3</v>
      </c>
      <c r="W15" s="15">
        <f t="shared" si="4"/>
        <v>2</v>
      </c>
      <c r="X15" s="15">
        <f t="shared" si="4"/>
        <v>2</v>
      </c>
      <c r="Y15" s="15">
        <f t="shared" si="4"/>
        <v>2</v>
      </c>
      <c r="Z15" s="15">
        <f t="shared" si="4"/>
        <v>2</v>
      </c>
      <c r="AA15" s="15">
        <f t="shared" si="4"/>
        <v>4</v>
      </c>
      <c r="AB15" s="15">
        <f t="shared" si="4"/>
        <v>3</v>
      </c>
      <c r="AC15" s="15">
        <f t="shared" si="4"/>
        <v>3</v>
      </c>
      <c r="AD15" s="15">
        <f t="shared" si="4"/>
        <v>3</v>
      </c>
      <c r="AE15" s="15">
        <f t="shared" si="4"/>
        <v>4</v>
      </c>
      <c r="AF15" s="15">
        <f t="shared" si="4"/>
        <v>3</v>
      </c>
      <c r="AG15" s="15">
        <f t="shared" si="4"/>
        <v>3</v>
      </c>
      <c r="AH15" s="15">
        <f t="shared" si="4"/>
        <v>4</v>
      </c>
      <c r="AI15" s="15">
        <f t="shared" si="4"/>
        <v>3</v>
      </c>
      <c r="AJ15" s="15">
        <f t="shared" si="4"/>
        <v>3</v>
      </c>
      <c r="AK15" s="15">
        <f t="shared" si="4"/>
        <v>4</v>
      </c>
      <c r="AL15" s="15">
        <f t="shared" si="4"/>
        <v>3</v>
      </c>
    </row>
    <row r="16" spans="1:38" x14ac:dyDescent="0.25">
      <c r="A16" s="2" t="s">
        <v>305</v>
      </c>
      <c r="C16" s="15">
        <f ca="1">IF(C6&gt;Assumptions!$B$17,OFFSET(C15,0,-Assumptions!$B$17),0)+IF(C6=Assumptions!$B$17,Assumptions!$B$24,0)</f>
        <v>0</v>
      </c>
      <c r="D16" s="15">
        <f ca="1">IF(D6&gt;Assumptions!$B$17,OFFSET(D15,0,-Assumptions!$B$17),0)+IF(D6=Assumptions!$B$17,Assumptions!$B$24,0)</f>
        <v>0</v>
      </c>
      <c r="E16" s="15">
        <f ca="1">IF(E6&gt;Assumptions!$B$17,OFFSET(E15,0,-Assumptions!$B$17),0)+IF(E6=Assumptions!$B$17,Assumptions!$B$24,0)</f>
        <v>6</v>
      </c>
      <c r="F16" s="15">
        <f ca="1">IF(F6&gt;Assumptions!$B$17,OFFSET(F15,0,-Assumptions!$B$17),0)+IF(F6=Assumptions!$B$17,Assumptions!$B$24,0)</f>
        <v>1</v>
      </c>
      <c r="G16" s="15">
        <f ca="1">IF(G6&gt;Assumptions!$B$17,OFFSET(G15,0,-Assumptions!$B$17),0)+IF(G6=Assumptions!$B$17,Assumptions!$B$24,0)</f>
        <v>1</v>
      </c>
      <c r="H16" s="15">
        <f ca="1">IF(H6&gt;Assumptions!$B$17,OFFSET(H15,0,-Assumptions!$B$17),0)+IF(H6=Assumptions!$B$17,Assumptions!$B$24,0)</f>
        <v>0</v>
      </c>
      <c r="I16" s="15">
        <f ca="1">IF(I6&gt;Assumptions!$B$17,OFFSET(I15,0,-Assumptions!$B$17),0)+IF(I6=Assumptions!$B$17,Assumptions!$B$24,0)</f>
        <v>1</v>
      </c>
      <c r="J16" s="15">
        <f ca="1">IF(J6&gt;Assumptions!$B$17,OFFSET(J15,0,-Assumptions!$B$17),0)+IF(J6=Assumptions!$B$17,Assumptions!$B$24,0)</f>
        <v>1</v>
      </c>
      <c r="K16" s="15">
        <f ca="1">IF(K6&gt;Assumptions!$B$17,OFFSET(K15,0,-Assumptions!$B$17),0)+IF(K6=Assumptions!$B$17,Assumptions!$B$24,0)</f>
        <v>1</v>
      </c>
      <c r="L16" s="15">
        <f ca="1">IF(L6&gt;Assumptions!$B$17,OFFSET(L15,0,-Assumptions!$B$17),0)+IF(L6=Assumptions!$B$17,Assumptions!$B$24,0)</f>
        <v>0</v>
      </c>
      <c r="M16" s="15">
        <f ca="1">IF(M6&gt;Assumptions!$B$17,OFFSET(M15,0,-Assumptions!$B$17),0)+IF(M6=Assumptions!$B$17,Assumptions!$B$24,0)</f>
        <v>1</v>
      </c>
      <c r="N16" s="15">
        <f ca="1">IF(N6&gt;Assumptions!$B$17,OFFSET(N15,0,-Assumptions!$B$17),0)+IF(N6=Assumptions!$B$17,Assumptions!$B$24,0)</f>
        <v>1</v>
      </c>
      <c r="O16" s="15">
        <f ca="1">IF(O6&gt;Assumptions!$B$17,OFFSET(O15,0,-Assumptions!$B$17),0)+IF(O6=Assumptions!$B$17,Assumptions!$B$24,0)</f>
        <v>1</v>
      </c>
      <c r="P16" s="15">
        <f ca="1">IF(P6&gt;Assumptions!$B$17,OFFSET(P15,0,-Assumptions!$B$17),0)+IF(P6=Assumptions!$B$17,Assumptions!$B$24,0)</f>
        <v>0</v>
      </c>
      <c r="Q16" s="15">
        <f ca="1">IF(Q6&gt;Assumptions!$B$17,OFFSET(Q15,0,-Assumptions!$B$17),0)+IF(Q6=Assumptions!$B$17,Assumptions!$B$24,0)</f>
        <v>1</v>
      </c>
      <c r="R16" s="15">
        <f ca="1">IF(R6&gt;Assumptions!$B$17,OFFSET(R15,0,-Assumptions!$B$17),0)+IF(R6=Assumptions!$B$17,Assumptions!$B$24,0)</f>
        <v>2</v>
      </c>
      <c r="S16" s="15">
        <f ca="1">IF(S6&gt;Assumptions!$B$17,OFFSET(S15,0,-Assumptions!$B$17),0)+IF(S6=Assumptions!$B$17,Assumptions!$B$24,0)</f>
        <v>2</v>
      </c>
      <c r="T16" s="15">
        <f ca="1">IF(T6&gt;Assumptions!$B$17,OFFSET(T15,0,-Assumptions!$B$17),0)+IF(T6=Assumptions!$B$17,Assumptions!$B$24,0)</f>
        <v>3</v>
      </c>
      <c r="U16" s="15">
        <f ca="1">IF(U6&gt;Assumptions!$B$17,OFFSET(U15,0,-Assumptions!$B$17),0)+IF(U6=Assumptions!$B$17,Assumptions!$B$24,0)</f>
        <v>2</v>
      </c>
      <c r="V16" s="15">
        <f ca="1">IF(V6&gt;Assumptions!$B$17,OFFSET(V15,0,-Assumptions!$B$17),0)+IF(V6=Assumptions!$B$17,Assumptions!$B$24,0)</f>
        <v>2</v>
      </c>
      <c r="W16" s="15">
        <f ca="1">IF(W6&gt;Assumptions!$B$17,OFFSET(W15,0,-Assumptions!$B$17),0)+IF(W6=Assumptions!$B$17,Assumptions!$B$24,0)</f>
        <v>2</v>
      </c>
      <c r="X16" s="15">
        <f ca="1">IF(X6&gt;Assumptions!$B$17,OFFSET(X15,0,-Assumptions!$B$17),0)+IF(X6=Assumptions!$B$17,Assumptions!$B$24,0)</f>
        <v>2</v>
      </c>
      <c r="Y16" s="15">
        <f ca="1">IF(Y6&gt;Assumptions!$B$17,OFFSET(Y15,0,-Assumptions!$B$17),0)+IF(Y6=Assumptions!$B$17,Assumptions!$B$24,0)</f>
        <v>3</v>
      </c>
      <c r="Z16" s="15">
        <f ca="1">IF(Z6&gt;Assumptions!$B$17,OFFSET(Z15,0,-Assumptions!$B$17),0)+IF(Z6=Assumptions!$B$17,Assumptions!$B$24,0)</f>
        <v>2</v>
      </c>
      <c r="AA16" s="15">
        <f ca="1">IF(AA6&gt;Assumptions!$B$17,OFFSET(AA15,0,-Assumptions!$B$17),0)+IF(AA6=Assumptions!$B$17,Assumptions!$B$24,0)</f>
        <v>2</v>
      </c>
      <c r="AB16" s="15">
        <f ca="1">IF(AB6&gt;Assumptions!$B$17,OFFSET(AB15,0,-Assumptions!$B$17),0)+IF(AB6=Assumptions!$B$17,Assumptions!$B$24,0)</f>
        <v>2</v>
      </c>
      <c r="AC16" s="15">
        <f ca="1">IF(AC6&gt;Assumptions!$B$17,OFFSET(AC15,0,-Assumptions!$B$17),0)+IF(AC6=Assumptions!$B$17,Assumptions!$B$24,0)</f>
        <v>2</v>
      </c>
      <c r="AD16" s="15">
        <f ca="1">IF(AD6&gt;Assumptions!$B$17,OFFSET(AD15,0,-Assumptions!$B$17),0)+IF(AD6=Assumptions!$B$17,Assumptions!$B$24,0)</f>
        <v>4</v>
      </c>
      <c r="AE16" s="15">
        <f ca="1">IF(AE6&gt;Assumptions!$B$17,OFFSET(AE15,0,-Assumptions!$B$17),0)+IF(AE6=Assumptions!$B$17,Assumptions!$B$24,0)</f>
        <v>3</v>
      </c>
      <c r="AF16" s="15">
        <f ca="1">IF(AF6&gt;Assumptions!$B$17,OFFSET(AF15,0,-Assumptions!$B$17),0)+IF(AF6=Assumptions!$B$17,Assumptions!$B$24,0)</f>
        <v>3</v>
      </c>
      <c r="AG16" s="15">
        <f ca="1">IF(AG6&gt;Assumptions!$B$17,OFFSET(AG15,0,-Assumptions!$B$17),0)+IF(AG6=Assumptions!$B$17,Assumptions!$B$24,0)</f>
        <v>3</v>
      </c>
      <c r="AH16" s="15">
        <f ca="1">IF(AH6&gt;Assumptions!$B$17,OFFSET(AH15,0,-Assumptions!$B$17),0)+IF(AH6=Assumptions!$B$17,Assumptions!$B$24,0)</f>
        <v>4</v>
      </c>
      <c r="AI16" s="15">
        <f ca="1">IF(AI6&gt;Assumptions!$B$17,OFFSET(AI15,0,-Assumptions!$B$17),0)+IF(AI6=Assumptions!$B$17,Assumptions!$B$24,0)</f>
        <v>3</v>
      </c>
      <c r="AJ16" s="15">
        <f ca="1">IF(AJ6&gt;Assumptions!$B$17,OFFSET(AJ15,0,-Assumptions!$B$17),0)+IF(AJ6=Assumptions!$B$17,Assumptions!$B$24,0)</f>
        <v>3</v>
      </c>
      <c r="AK16" s="15">
        <f ca="1">IF(AK6&gt;Assumptions!$B$17,OFFSET(AK15,0,-Assumptions!$B$17),0)+IF(AK6=Assumptions!$B$17,Assumptions!$B$24,0)</f>
        <v>4</v>
      </c>
      <c r="AL16" s="15">
        <f ca="1">IF(AL6&gt;Assumptions!$B$17,OFFSET(AL15,0,-Assumptions!$B$17),0)+IF(AL6=Assumptions!$B$17,Assumptions!$B$24,0)</f>
        <v>3</v>
      </c>
    </row>
    <row r="17" spans="1:38" hidden="1" outlineLevel="1" x14ac:dyDescent="0.25">
      <c r="A17" s="39" t="s">
        <v>306</v>
      </c>
      <c r="C17" s="40">
        <f ca="1">C16*Assumptions!$B$18</f>
        <v>0</v>
      </c>
      <c r="D17" s="40">
        <f ca="1">D16*Assumptions!$B$18</f>
        <v>0</v>
      </c>
      <c r="E17" s="40">
        <f ca="1">E16*Assumptions!$B$18</f>
        <v>3</v>
      </c>
      <c r="F17" s="40">
        <f ca="1">F16*Assumptions!$B$18</f>
        <v>0.5</v>
      </c>
      <c r="G17" s="40">
        <f ca="1">G16*Assumptions!$B$18</f>
        <v>0.5</v>
      </c>
      <c r="H17" s="40">
        <f ca="1">H16*Assumptions!$B$18</f>
        <v>0</v>
      </c>
      <c r="I17" s="40">
        <f ca="1">I16*Assumptions!$B$18</f>
        <v>0.5</v>
      </c>
      <c r="J17" s="40">
        <f ca="1">J16*Assumptions!$B$18</f>
        <v>0.5</v>
      </c>
      <c r="K17" s="40">
        <f ca="1">K16*Assumptions!$B$18</f>
        <v>0.5</v>
      </c>
      <c r="L17" s="40">
        <f ca="1">L16*Assumptions!$B$18</f>
        <v>0</v>
      </c>
      <c r="M17" s="40">
        <f ca="1">M16*Assumptions!$B$18</f>
        <v>0.5</v>
      </c>
      <c r="N17" s="40">
        <f ca="1">N16*Assumptions!$B$18</f>
        <v>0.5</v>
      </c>
      <c r="O17" s="40">
        <f ca="1">O16*Assumptions!$B$18</f>
        <v>0.5</v>
      </c>
      <c r="P17" s="40">
        <f ca="1">P16*Assumptions!$B$18</f>
        <v>0</v>
      </c>
      <c r="Q17" s="40">
        <f ca="1">Q16*Assumptions!$B$18</f>
        <v>0.5</v>
      </c>
      <c r="R17" s="40">
        <f ca="1">R16*Assumptions!$B$18</f>
        <v>1</v>
      </c>
      <c r="S17" s="40">
        <f ca="1">S16*Assumptions!$B$18</f>
        <v>1</v>
      </c>
      <c r="T17" s="40">
        <f ca="1">T16*Assumptions!$B$18</f>
        <v>1.5</v>
      </c>
      <c r="U17" s="40">
        <f ca="1">U16*Assumptions!$B$18</f>
        <v>1</v>
      </c>
      <c r="V17" s="40">
        <f ca="1">V16*Assumptions!$B$18</f>
        <v>1</v>
      </c>
      <c r="W17" s="40">
        <f ca="1">W16*Assumptions!$B$18</f>
        <v>1</v>
      </c>
      <c r="X17" s="40">
        <f ca="1">X16*Assumptions!$B$18</f>
        <v>1</v>
      </c>
      <c r="Y17" s="40">
        <f ca="1">Y16*Assumptions!$B$18</f>
        <v>1.5</v>
      </c>
      <c r="Z17" s="40">
        <f ca="1">Z16*Assumptions!$B$18</f>
        <v>1</v>
      </c>
      <c r="AA17" s="40">
        <f ca="1">AA16*Assumptions!$B$18</f>
        <v>1</v>
      </c>
      <c r="AB17" s="40">
        <f ca="1">AB16*Assumptions!$B$18</f>
        <v>1</v>
      </c>
      <c r="AC17" s="40">
        <f ca="1">AC16*Assumptions!$B$18</f>
        <v>1</v>
      </c>
      <c r="AD17" s="40">
        <f ca="1">AD16*Assumptions!$B$18</f>
        <v>2</v>
      </c>
      <c r="AE17" s="40">
        <f ca="1">AE16*Assumptions!$B$18</f>
        <v>1.5</v>
      </c>
      <c r="AF17" s="40">
        <f ca="1">AF16*Assumptions!$B$18</f>
        <v>1.5</v>
      </c>
      <c r="AG17" s="40">
        <f ca="1">AG16*Assumptions!$B$18</f>
        <v>1.5</v>
      </c>
      <c r="AH17" s="40">
        <f ca="1">AH16*Assumptions!$B$18</f>
        <v>2</v>
      </c>
      <c r="AI17" s="40">
        <f ca="1">AI16*Assumptions!$B$18</f>
        <v>1.5</v>
      </c>
      <c r="AJ17" s="40">
        <f ca="1">AJ16*Assumptions!$B$18</f>
        <v>1.5</v>
      </c>
      <c r="AK17" s="40">
        <f ca="1">AK16*Assumptions!$B$18</f>
        <v>2</v>
      </c>
      <c r="AL17" s="40">
        <f ca="1">AL16*Assumptions!$B$18</f>
        <v>1.5</v>
      </c>
    </row>
    <row r="18" spans="1:38" hidden="1" outlineLevel="1" x14ac:dyDescent="0.25">
      <c r="A18" s="39" t="s">
        <v>307</v>
      </c>
      <c r="C18" s="40">
        <f ca="1">0+C17</f>
        <v>0</v>
      </c>
      <c r="D18" s="40">
        <f t="shared" ref="D18:AL18" ca="1" si="5">C18+D17</f>
        <v>0</v>
      </c>
      <c r="E18" s="40">
        <f t="shared" ca="1" si="5"/>
        <v>3</v>
      </c>
      <c r="F18" s="40">
        <f t="shared" ca="1" si="5"/>
        <v>3.5</v>
      </c>
      <c r="G18" s="40">
        <f t="shared" ca="1" si="5"/>
        <v>4</v>
      </c>
      <c r="H18" s="40">
        <f t="shared" ca="1" si="5"/>
        <v>4</v>
      </c>
      <c r="I18" s="40">
        <f t="shared" ca="1" si="5"/>
        <v>4.5</v>
      </c>
      <c r="J18" s="40">
        <f t="shared" ca="1" si="5"/>
        <v>5</v>
      </c>
      <c r="K18" s="40">
        <f t="shared" ca="1" si="5"/>
        <v>5.5</v>
      </c>
      <c r="L18" s="40">
        <f t="shared" ca="1" si="5"/>
        <v>5.5</v>
      </c>
      <c r="M18" s="40">
        <f t="shared" ca="1" si="5"/>
        <v>6</v>
      </c>
      <c r="N18" s="40">
        <f t="shared" ca="1" si="5"/>
        <v>6.5</v>
      </c>
      <c r="O18" s="40">
        <f t="shared" ca="1" si="5"/>
        <v>7</v>
      </c>
      <c r="P18" s="40">
        <f t="shared" ca="1" si="5"/>
        <v>7</v>
      </c>
      <c r="Q18" s="40">
        <f t="shared" ca="1" si="5"/>
        <v>7.5</v>
      </c>
      <c r="R18" s="40">
        <f t="shared" ca="1" si="5"/>
        <v>8.5</v>
      </c>
      <c r="S18" s="40">
        <f t="shared" ca="1" si="5"/>
        <v>9.5</v>
      </c>
      <c r="T18" s="40">
        <f t="shared" ca="1" si="5"/>
        <v>11</v>
      </c>
      <c r="U18" s="40">
        <f t="shared" ca="1" si="5"/>
        <v>12</v>
      </c>
      <c r="V18" s="40">
        <f t="shared" ca="1" si="5"/>
        <v>13</v>
      </c>
      <c r="W18" s="40">
        <f t="shared" ca="1" si="5"/>
        <v>14</v>
      </c>
      <c r="X18" s="40">
        <f t="shared" ca="1" si="5"/>
        <v>15</v>
      </c>
      <c r="Y18" s="40">
        <f t="shared" ca="1" si="5"/>
        <v>16.5</v>
      </c>
      <c r="Z18" s="40">
        <f t="shared" ca="1" si="5"/>
        <v>17.5</v>
      </c>
      <c r="AA18" s="40">
        <f t="shared" ca="1" si="5"/>
        <v>18.5</v>
      </c>
      <c r="AB18" s="40">
        <f t="shared" ca="1" si="5"/>
        <v>19.5</v>
      </c>
      <c r="AC18" s="40">
        <f t="shared" ca="1" si="5"/>
        <v>20.5</v>
      </c>
      <c r="AD18" s="40">
        <f t="shared" ca="1" si="5"/>
        <v>22.5</v>
      </c>
      <c r="AE18" s="40">
        <f t="shared" ca="1" si="5"/>
        <v>24</v>
      </c>
      <c r="AF18" s="40">
        <f t="shared" ca="1" si="5"/>
        <v>25.5</v>
      </c>
      <c r="AG18" s="40">
        <f t="shared" ca="1" si="5"/>
        <v>27</v>
      </c>
      <c r="AH18" s="40">
        <f t="shared" ca="1" si="5"/>
        <v>29</v>
      </c>
      <c r="AI18" s="40">
        <f t="shared" ca="1" si="5"/>
        <v>30.5</v>
      </c>
      <c r="AJ18" s="40">
        <f t="shared" ca="1" si="5"/>
        <v>32</v>
      </c>
      <c r="AK18" s="40">
        <f t="shared" ca="1" si="5"/>
        <v>34</v>
      </c>
      <c r="AL18" s="40">
        <f t="shared" ca="1" si="5"/>
        <v>35.5</v>
      </c>
    </row>
    <row r="19" spans="1:38" x14ac:dyDescent="0.25">
      <c r="A19" s="2" t="s">
        <v>25</v>
      </c>
      <c r="C19" s="15">
        <f ca="1">ROUND(C18,0)-ROUND(0,0)</f>
        <v>0</v>
      </c>
      <c r="D19" s="15">
        <f t="shared" ref="D19:AL19" ca="1" si="6">ROUND(D18,0)-ROUND(C18,0)</f>
        <v>0</v>
      </c>
      <c r="E19" s="15">
        <f t="shared" ca="1" si="6"/>
        <v>3</v>
      </c>
      <c r="F19" s="15">
        <f t="shared" ca="1" si="6"/>
        <v>1</v>
      </c>
      <c r="G19" s="15">
        <f t="shared" ca="1" si="6"/>
        <v>0</v>
      </c>
      <c r="H19" s="15">
        <f t="shared" ca="1" si="6"/>
        <v>0</v>
      </c>
      <c r="I19" s="15">
        <f t="shared" ca="1" si="6"/>
        <v>1</v>
      </c>
      <c r="J19" s="15">
        <f t="shared" ca="1" si="6"/>
        <v>0</v>
      </c>
      <c r="K19" s="15">
        <f t="shared" ca="1" si="6"/>
        <v>1</v>
      </c>
      <c r="L19" s="15">
        <f t="shared" ca="1" si="6"/>
        <v>0</v>
      </c>
      <c r="M19" s="15">
        <f t="shared" ca="1" si="6"/>
        <v>0</v>
      </c>
      <c r="N19" s="15">
        <f t="shared" ca="1" si="6"/>
        <v>1</v>
      </c>
      <c r="O19" s="15">
        <f t="shared" ca="1" si="6"/>
        <v>0</v>
      </c>
      <c r="P19" s="15">
        <f t="shared" ca="1" si="6"/>
        <v>0</v>
      </c>
      <c r="Q19" s="15">
        <f t="shared" ca="1" si="6"/>
        <v>1</v>
      </c>
      <c r="R19" s="15">
        <f t="shared" ca="1" si="6"/>
        <v>1</v>
      </c>
      <c r="S19" s="15">
        <f t="shared" ca="1" si="6"/>
        <v>1</v>
      </c>
      <c r="T19" s="15">
        <f t="shared" ca="1" si="6"/>
        <v>1</v>
      </c>
      <c r="U19" s="15">
        <f t="shared" ca="1" si="6"/>
        <v>1</v>
      </c>
      <c r="V19" s="15">
        <f t="shared" ca="1" si="6"/>
        <v>1</v>
      </c>
      <c r="W19" s="15">
        <f t="shared" ca="1" si="6"/>
        <v>1</v>
      </c>
      <c r="X19" s="15">
        <f t="shared" ca="1" si="6"/>
        <v>1</v>
      </c>
      <c r="Y19" s="15">
        <f t="shared" ca="1" si="6"/>
        <v>2</v>
      </c>
      <c r="Z19" s="15">
        <f t="shared" ca="1" si="6"/>
        <v>1</v>
      </c>
      <c r="AA19" s="15">
        <f t="shared" ca="1" si="6"/>
        <v>1</v>
      </c>
      <c r="AB19" s="15">
        <f t="shared" ca="1" si="6"/>
        <v>1</v>
      </c>
      <c r="AC19" s="15">
        <f t="shared" ca="1" si="6"/>
        <v>1</v>
      </c>
      <c r="AD19" s="15">
        <f t="shared" ca="1" si="6"/>
        <v>2</v>
      </c>
      <c r="AE19" s="15">
        <f t="shared" ca="1" si="6"/>
        <v>1</v>
      </c>
      <c r="AF19" s="15">
        <f t="shared" ca="1" si="6"/>
        <v>2</v>
      </c>
      <c r="AG19" s="15">
        <f t="shared" ca="1" si="6"/>
        <v>1</v>
      </c>
      <c r="AH19" s="15">
        <f t="shared" ca="1" si="6"/>
        <v>2</v>
      </c>
      <c r="AI19" s="15">
        <f t="shared" ca="1" si="6"/>
        <v>2</v>
      </c>
      <c r="AJ19" s="15">
        <f t="shared" ca="1" si="6"/>
        <v>1</v>
      </c>
      <c r="AK19" s="15">
        <f t="shared" ca="1" si="6"/>
        <v>2</v>
      </c>
      <c r="AL19" s="15">
        <f t="shared" ca="1" si="6"/>
        <v>2</v>
      </c>
    </row>
    <row r="20" spans="1:38" hidden="1" outlineLevel="1" x14ac:dyDescent="0.25">
      <c r="A20" s="39" t="s">
        <v>308</v>
      </c>
      <c r="C20" s="40">
        <f ca="1">C19*Assumptions!$B$19</f>
        <v>0</v>
      </c>
      <c r="D20" s="40">
        <f ca="1">D19*Assumptions!$B$19</f>
        <v>0</v>
      </c>
      <c r="E20" s="40">
        <f ca="1">E19*Assumptions!$B$19</f>
        <v>1.9500000000000002</v>
      </c>
      <c r="F20" s="40">
        <f ca="1">F19*Assumptions!$B$19</f>
        <v>0.65</v>
      </c>
      <c r="G20" s="40">
        <f ca="1">G19*Assumptions!$B$19</f>
        <v>0</v>
      </c>
      <c r="H20" s="40">
        <f ca="1">H19*Assumptions!$B$19</f>
        <v>0</v>
      </c>
      <c r="I20" s="40">
        <f ca="1">I19*Assumptions!$B$19</f>
        <v>0.65</v>
      </c>
      <c r="J20" s="40">
        <f ca="1">J19*Assumptions!$B$19</f>
        <v>0</v>
      </c>
      <c r="K20" s="40">
        <f ca="1">K19*Assumptions!$B$19</f>
        <v>0.65</v>
      </c>
      <c r="L20" s="40">
        <f ca="1">L19*Assumptions!$B$19</f>
        <v>0</v>
      </c>
      <c r="M20" s="40">
        <f ca="1">M19*Assumptions!$B$19</f>
        <v>0</v>
      </c>
      <c r="N20" s="40">
        <f ca="1">N19*Assumptions!$B$19</f>
        <v>0.65</v>
      </c>
      <c r="O20" s="40">
        <f ca="1">O19*Assumptions!$B$19</f>
        <v>0</v>
      </c>
      <c r="P20" s="40">
        <f ca="1">P19*Assumptions!$B$19</f>
        <v>0</v>
      </c>
      <c r="Q20" s="40">
        <f ca="1">Q19*Assumptions!$B$19</f>
        <v>0.65</v>
      </c>
      <c r="R20" s="40">
        <f ca="1">R19*Assumptions!$B$19</f>
        <v>0.65</v>
      </c>
      <c r="S20" s="40">
        <f ca="1">S19*Assumptions!$B$19</f>
        <v>0.65</v>
      </c>
      <c r="T20" s="40">
        <f ca="1">T19*Assumptions!$B$19</f>
        <v>0.65</v>
      </c>
      <c r="U20" s="40">
        <f ca="1">U19*Assumptions!$B$19</f>
        <v>0.65</v>
      </c>
      <c r="V20" s="40">
        <f ca="1">V19*Assumptions!$B$19</f>
        <v>0.65</v>
      </c>
      <c r="W20" s="40">
        <f ca="1">W19*Assumptions!$B$19</f>
        <v>0.65</v>
      </c>
      <c r="X20" s="40">
        <f ca="1">X19*Assumptions!$B$19</f>
        <v>0.65</v>
      </c>
      <c r="Y20" s="40">
        <f ca="1">Y19*Assumptions!$B$19</f>
        <v>1.3</v>
      </c>
      <c r="Z20" s="40">
        <f ca="1">Z19*Assumptions!$B$19</f>
        <v>0.65</v>
      </c>
      <c r="AA20" s="40">
        <f ca="1">AA19*Assumptions!$B$19</f>
        <v>0.65</v>
      </c>
      <c r="AB20" s="40">
        <f ca="1">AB19*Assumptions!$B$19</f>
        <v>0.65</v>
      </c>
      <c r="AC20" s="40">
        <f ca="1">AC19*Assumptions!$B$19</f>
        <v>0.65</v>
      </c>
      <c r="AD20" s="40">
        <f ca="1">AD19*Assumptions!$B$19</f>
        <v>1.3</v>
      </c>
      <c r="AE20" s="40">
        <f ca="1">AE19*Assumptions!$B$19</f>
        <v>0.65</v>
      </c>
      <c r="AF20" s="40">
        <f ca="1">AF19*Assumptions!$B$19</f>
        <v>1.3</v>
      </c>
      <c r="AG20" s="40">
        <f ca="1">AG19*Assumptions!$B$19</f>
        <v>0.65</v>
      </c>
      <c r="AH20" s="40">
        <f ca="1">AH19*Assumptions!$B$19</f>
        <v>1.3</v>
      </c>
      <c r="AI20" s="40">
        <f ca="1">AI19*Assumptions!$B$19</f>
        <v>1.3</v>
      </c>
      <c r="AJ20" s="40">
        <f ca="1">AJ19*Assumptions!$B$19</f>
        <v>0.65</v>
      </c>
      <c r="AK20" s="40">
        <f ca="1">AK19*Assumptions!$B$19</f>
        <v>1.3</v>
      </c>
      <c r="AL20" s="40">
        <f ca="1">AL19*Assumptions!$B$19</f>
        <v>1.3</v>
      </c>
    </row>
    <row r="21" spans="1:38" hidden="1" outlineLevel="1" x14ac:dyDescent="0.25">
      <c r="A21" s="39" t="s">
        <v>309</v>
      </c>
      <c r="C21" s="40">
        <f ca="1">0+C20</f>
        <v>0</v>
      </c>
      <c r="D21" s="40">
        <f t="shared" ref="D21:AL21" ca="1" si="7">C21+D20</f>
        <v>0</v>
      </c>
      <c r="E21" s="40">
        <f t="shared" ca="1" si="7"/>
        <v>1.9500000000000002</v>
      </c>
      <c r="F21" s="40">
        <f t="shared" ca="1" si="7"/>
        <v>2.6</v>
      </c>
      <c r="G21" s="40">
        <f t="shared" ca="1" si="7"/>
        <v>2.6</v>
      </c>
      <c r="H21" s="40">
        <f t="shared" ca="1" si="7"/>
        <v>2.6</v>
      </c>
      <c r="I21" s="40">
        <f t="shared" ca="1" si="7"/>
        <v>3.25</v>
      </c>
      <c r="J21" s="40">
        <f t="shared" ca="1" si="7"/>
        <v>3.25</v>
      </c>
      <c r="K21" s="40">
        <f t="shared" ca="1" si="7"/>
        <v>3.9</v>
      </c>
      <c r="L21" s="40">
        <f t="shared" ca="1" si="7"/>
        <v>3.9</v>
      </c>
      <c r="M21" s="40">
        <f t="shared" ca="1" si="7"/>
        <v>3.9</v>
      </c>
      <c r="N21" s="40">
        <f t="shared" ca="1" si="7"/>
        <v>4.55</v>
      </c>
      <c r="O21" s="40">
        <f t="shared" ca="1" si="7"/>
        <v>4.55</v>
      </c>
      <c r="P21" s="40">
        <f t="shared" ca="1" si="7"/>
        <v>4.55</v>
      </c>
      <c r="Q21" s="40">
        <f t="shared" ca="1" si="7"/>
        <v>5.2</v>
      </c>
      <c r="R21" s="40">
        <f t="shared" ca="1" si="7"/>
        <v>5.8500000000000005</v>
      </c>
      <c r="S21" s="40">
        <f t="shared" ca="1" si="7"/>
        <v>6.5000000000000009</v>
      </c>
      <c r="T21" s="40">
        <f t="shared" ca="1" si="7"/>
        <v>7.1500000000000012</v>
      </c>
      <c r="U21" s="40">
        <f t="shared" ca="1" si="7"/>
        <v>7.8000000000000016</v>
      </c>
      <c r="V21" s="40">
        <f t="shared" ca="1" si="7"/>
        <v>8.4500000000000011</v>
      </c>
      <c r="W21" s="40">
        <f t="shared" ca="1" si="7"/>
        <v>9.1000000000000014</v>
      </c>
      <c r="X21" s="40">
        <f t="shared" ca="1" si="7"/>
        <v>9.7500000000000018</v>
      </c>
      <c r="Y21" s="40">
        <f t="shared" ca="1" si="7"/>
        <v>11.050000000000002</v>
      </c>
      <c r="Z21" s="40">
        <f t="shared" ca="1" si="7"/>
        <v>11.700000000000003</v>
      </c>
      <c r="AA21" s="40">
        <f t="shared" ca="1" si="7"/>
        <v>12.350000000000003</v>
      </c>
      <c r="AB21" s="40">
        <f t="shared" ca="1" si="7"/>
        <v>13.000000000000004</v>
      </c>
      <c r="AC21" s="40">
        <f t="shared" ca="1" si="7"/>
        <v>13.650000000000004</v>
      </c>
      <c r="AD21" s="40">
        <f t="shared" ca="1" si="7"/>
        <v>14.950000000000005</v>
      </c>
      <c r="AE21" s="40">
        <f t="shared" ca="1" si="7"/>
        <v>15.600000000000005</v>
      </c>
      <c r="AF21" s="40">
        <f t="shared" ca="1" si="7"/>
        <v>16.900000000000006</v>
      </c>
      <c r="AG21" s="40">
        <f t="shared" ca="1" si="7"/>
        <v>17.550000000000004</v>
      </c>
      <c r="AH21" s="40">
        <f t="shared" ca="1" si="7"/>
        <v>18.850000000000005</v>
      </c>
      <c r="AI21" s="40">
        <f t="shared" ca="1" si="7"/>
        <v>20.150000000000006</v>
      </c>
      <c r="AJ21" s="40">
        <f t="shared" ca="1" si="7"/>
        <v>20.800000000000004</v>
      </c>
      <c r="AK21" s="40">
        <f t="shared" ca="1" si="7"/>
        <v>22.100000000000005</v>
      </c>
      <c r="AL21" s="40">
        <f t="shared" ca="1" si="7"/>
        <v>23.400000000000006</v>
      </c>
    </row>
    <row r="22" spans="1:38" x14ac:dyDescent="0.25">
      <c r="A22" s="2" t="s">
        <v>310</v>
      </c>
      <c r="C22" s="15">
        <f ca="1">ROUND(C21,0)-ROUND(0,0)</f>
        <v>0</v>
      </c>
      <c r="D22" s="15">
        <f t="shared" ref="D22:AL22" ca="1" si="8">ROUND(D21,0)-ROUND(C21,0)</f>
        <v>0</v>
      </c>
      <c r="E22" s="15">
        <f t="shared" ca="1" si="8"/>
        <v>2</v>
      </c>
      <c r="F22" s="15">
        <f t="shared" ca="1" si="8"/>
        <v>1</v>
      </c>
      <c r="G22" s="15">
        <f t="shared" ca="1" si="8"/>
        <v>0</v>
      </c>
      <c r="H22" s="15">
        <f t="shared" ca="1" si="8"/>
        <v>0</v>
      </c>
      <c r="I22" s="15">
        <f t="shared" ca="1" si="8"/>
        <v>0</v>
      </c>
      <c r="J22" s="15">
        <f t="shared" ca="1" si="8"/>
        <v>0</v>
      </c>
      <c r="K22" s="15">
        <f t="shared" ca="1" si="8"/>
        <v>1</v>
      </c>
      <c r="L22" s="15">
        <f t="shared" ca="1" si="8"/>
        <v>0</v>
      </c>
      <c r="M22" s="15">
        <f t="shared" ca="1" si="8"/>
        <v>0</v>
      </c>
      <c r="N22" s="15">
        <f t="shared" ca="1" si="8"/>
        <v>1</v>
      </c>
      <c r="O22" s="15">
        <f t="shared" ca="1" si="8"/>
        <v>0</v>
      </c>
      <c r="P22" s="15">
        <f t="shared" ca="1" si="8"/>
        <v>0</v>
      </c>
      <c r="Q22" s="15">
        <f t="shared" ca="1" si="8"/>
        <v>0</v>
      </c>
      <c r="R22" s="15">
        <f t="shared" ca="1" si="8"/>
        <v>1</v>
      </c>
      <c r="S22" s="15">
        <f t="shared" ca="1" si="8"/>
        <v>1</v>
      </c>
      <c r="T22" s="15">
        <f t="shared" ca="1" si="8"/>
        <v>0</v>
      </c>
      <c r="U22" s="15">
        <f t="shared" ca="1" si="8"/>
        <v>1</v>
      </c>
      <c r="V22" s="15">
        <f t="shared" ca="1" si="8"/>
        <v>0</v>
      </c>
      <c r="W22" s="15">
        <f t="shared" ca="1" si="8"/>
        <v>1</v>
      </c>
      <c r="X22" s="15">
        <f t="shared" ca="1" si="8"/>
        <v>1</v>
      </c>
      <c r="Y22" s="15">
        <f t="shared" ca="1" si="8"/>
        <v>1</v>
      </c>
      <c r="Z22" s="15">
        <f t="shared" ca="1" si="8"/>
        <v>1</v>
      </c>
      <c r="AA22" s="15">
        <f t="shared" ca="1" si="8"/>
        <v>0</v>
      </c>
      <c r="AB22" s="15">
        <f t="shared" ca="1" si="8"/>
        <v>1</v>
      </c>
      <c r="AC22" s="15">
        <f t="shared" ca="1" si="8"/>
        <v>1</v>
      </c>
      <c r="AD22" s="15">
        <f t="shared" ca="1" si="8"/>
        <v>1</v>
      </c>
      <c r="AE22" s="15">
        <f t="shared" ca="1" si="8"/>
        <v>1</v>
      </c>
      <c r="AF22" s="15">
        <f t="shared" ca="1" si="8"/>
        <v>1</v>
      </c>
      <c r="AG22" s="15">
        <f t="shared" ca="1" si="8"/>
        <v>1</v>
      </c>
      <c r="AH22" s="15">
        <f t="shared" ca="1" si="8"/>
        <v>1</v>
      </c>
      <c r="AI22" s="15">
        <f t="shared" ca="1" si="8"/>
        <v>1</v>
      </c>
      <c r="AJ22" s="15">
        <f t="shared" ca="1" si="8"/>
        <v>1</v>
      </c>
      <c r="AK22" s="15">
        <f t="shared" ca="1" si="8"/>
        <v>1</v>
      </c>
      <c r="AL22" s="15">
        <f t="shared" ca="1" si="8"/>
        <v>1</v>
      </c>
    </row>
    <row r="23" spans="1:38" x14ac:dyDescent="0.25">
      <c r="A23" s="2" t="s">
        <v>311</v>
      </c>
      <c r="C23" s="15">
        <f t="shared" ref="C23:AL23" ca="1" si="9">C19-C22</f>
        <v>0</v>
      </c>
      <c r="D23" s="15">
        <f t="shared" ca="1" si="9"/>
        <v>0</v>
      </c>
      <c r="E23" s="15">
        <f t="shared" ca="1" si="9"/>
        <v>1</v>
      </c>
      <c r="F23" s="15">
        <f t="shared" ca="1" si="9"/>
        <v>0</v>
      </c>
      <c r="G23" s="15">
        <f t="shared" ca="1" si="9"/>
        <v>0</v>
      </c>
      <c r="H23" s="15">
        <f t="shared" ca="1" si="9"/>
        <v>0</v>
      </c>
      <c r="I23" s="15">
        <f t="shared" ca="1" si="9"/>
        <v>1</v>
      </c>
      <c r="J23" s="15">
        <f t="shared" ca="1" si="9"/>
        <v>0</v>
      </c>
      <c r="K23" s="15">
        <f t="shared" ca="1" si="9"/>
        <v>0</v>
      </c>
      <c r="L23" s="15">
        <f t="shared" ca="1" si="9"/>
        <v>0</v>
      </c>
      <c r="M23" s="15">
        <f t="shared" ca="1" si="9"/>
        <v>0</v>
      </c>
      <c r="N23" s="15">
        <f t="shared" ca="1" si="9"/>
        <v>0</v>
      </c>
      <c r="O23" s="15">
        <f t="shared" ca="1" si="9"/>
        <v>0</v>
      </c>
      <c r="P23" s="15">
        <f t="shared" ca="1" si="9"/>
        <v>0</v>
      </c>
      <c r="Q23" s="15">
        <f t="shared" ca="1" si="9"/>
        <v>1</v>
      </c>
      <c r="R23" s="15">
        <f t="shared" ca="1" si="9"/>
        <v>0</v>
      </c>
      <c r="S23" s="15">
        <f t="shared" ca="1" si="9"/>
        <v>0</v>
      </c>
      <c r="T23" s="15">
        <f t="shared" ca="1" si="9"/>
        <v>1</v>
      </c>
      <c r="U23" s="15">
        <f t="shared" ca="1" si="9"/>
        <v>0</v>
      </c>
      <c r="V23" s="15">
        <f t="shared" ca="1" si="9"/>
        <v>1</v>
      </c>
      <c r="W23" s="15">
        <f t="shared" ca="1" si="9"/>
        <v>0</v>
      </c>
      <c r="X23" s="15">
        <f t="shared" ca="1" si="9"/>
        <v>0</v>
      </c>
      <c r="Y23" s="15">
        <f t="shared" ca="1" si="9"/>
        <v>1</v>
      </c>
      <c r="Z23" s="15">
        <f t="shared" ca="1" si="9"/>
        <v>0</v>
      </c>
      <c r="AA23" s="15">
        <f t="shared" ca="1" si="9"/>
        <v>1</v>
      </c>
      <c r="AB23" s="15">
        <f t="shared" ca="1" si="9"/>
        <v>0</v>
      </c>
      <c r="AC23" s="15">
        <f t="shared" ca="1" si="9"/>
        <v>0</v>
      </c>
      <c r="AD23" s="15">
        <f t="shared" ca="1" si="9"/>
        <v>1</v>
      </c>
      <c r="AE23" s="15">
        <f t="shared" ca="1" si="9"/>
        <v>0</v>
      </c>
      <c r="AF23" s="15">
        <f t="shared" ca="1" si="9"/>
        <v>1</v>
      </c>
      <c r="AG23" s="15">
        <f t="shared" ca="1" si="9"/>
        <v>0</v>
      </c>
      <c r="AH23" s="15">
        <f t="shared" ca="1" si="9"/>
        <v>1</v>
      </c>
      <c r="AI23" s="15">
        <f t="shared" ca="1" si="9"/>
        <v>1</v>
      </c>
      <c r="AJ23" s="15">
        <f t="shared" ca="1" si="9"/>
        <v>0</v>
      </c>
      <c r="AK23" s="15">
        <f t="shared" ca="1" si="9"/>
        <v>1</v>
      </c>
      <c r="AL23" s="15">
        <f t="shared" ca="1" si="9"/>
        <v>1</v>
      </c>
    </row>
    <row r="24" spans="1:38" hidden="1" outlineLevel="1" x14ac:dyDescent="0.25">
      <c r="A24" s="39" t="s">
        <v>312</v>
      </c>
      <c r="C24" s="40">
        <f>C12*Assumptions!$B$20</f>
        <v>0.32500000000000001</v>
      </c>
      <c r="D24" s="40">
        <f>D12*Assumptions!$B$20</f>
        <v>0.30000000000000004</v>
      </c>
      <c r="E24" s="40">
        <f>E12*Assumptions!$B$20</f>
        <v>0.32500000000000001</v>
      </c>
      <c r="F24" s="40">
        <f>F12*Assumptions!$B$20</f>
        <v>0.30000000000000004</v>
      </c>
      <c r="G24" s="40">
        <f>G12*Assumptions!$B$20</f>
        <v>0.32500000000000001</v>
      </c>
      <c r="H24" s="40">
        <f>H12*Assumptions!$B$20</f>
        <v>0.30000000000000004</v>
      </c>
      <c r="I24" s="40">
        <f>I12*Assumptions!$B$20</f>
        <v>0.32500000000000001</v>
      </c>
      <c r="J24" s="40">
        <f>J12*Assumptions!$B$20</f>
        <v>0.30000000000000004</v>
      </c>
      <c r="K24" s="40">
        <f>K12*Assumptions!$B$20</f>
        <v>0.32500000000000001</v>
      </c>
      <c r="L24" s="40">
        <f>L12*Assumptions!$B$20</f>
        <v>0.30000000000000004</v>
      </c>
      <c r="M24" s="40">
        <f>M12*Assumptions!$B$20</f>
        <v>0.32500000000000001</v>
      </c>
      <c r="N24" s="40">
        <f>N12*Assumptions!$B$20</f>
        <v>0.30000000000000004</v>
      </c>
      <c r="O24" s="40">
        <f>O12*Assumptions!$B$20</f>
        <v>0.9</v>
      </c>
      <c r="P24" s="40">
        <f>P12*Assumptions!$B$20</f>
        <v>0.92500000000000004</v>
      </c>
      <c r="Q24" s="40">
        <f>Q12*Assumptions!$B$20</f>
        <v>0.9</v>
      </c>
      <c r="R24" s="40">
        <f>R12*Assumptions!$B$20</f>
        <v>0.92500000000000004</v>
      </c>
      <c r="S24" s="40">
        <f>S12*Assumptions!$B$20</f>
        <v>0.9</v>
      </c>
      <c r="T24" s="40">
        <f>T12*Assumptions!$B$20</f>
        <v>0.92500000000000004</v>
      </c>
      <c r="U24" s="40">
        <f>U12*Assumptions!$B$20</f>
        <v>0.9</v>
      </c>
      <c r="V24" s="40">
        <f>V12*Assumptions!$B$20</f>
        <v>0.92500000000000004</v>
      </c>
      <c r="W24" s="40">
        <f>W12*Assumptions!$B$20</f>
        <v>0.9</v>
      </c>
      <c r="X24" s="40">
        <f>X12*Assumptions!$B$20</f>
        <v>0.92500000000000004</v>
      </c>
      <c r="Y24" s="40">
        <f>Y12*Assumptions!$B$20</f>
        <v>0.9</v>
      </c>
      <c r="Z24" s="40">
        <f>Z12*Assumptions!$B$20</f>
        <v>0.92500000000000004</v>
      </c>
      <c r="AA24" s="40">
        <f>AA12*Assumptions!$B$20</f>
        <v>1.375</v>
      </c>
      <c r="AB24" s="40">
        <f>AB12*Assumptions!$B$20</f>
        <v>1.375</v>
      </c>
      <c r="AC24" s="40">
        <f>AC12*Assumptions!$B$20</f>
        <v>1.375</v>
      </c>
      <c r="AD24" s="40">
        <f>AD12*Assumptions!$B$20</f>
        <v>1.375</v>
      </c>
      <c r="AE24" s="40">
        <f>AE12*Assumptions!$B$20</f>
        <v>1.4000000000000001</v>
      </c>
      <c r="AF24" s="40">
        <f>AF12*Assumptions!$B$20</f>
        <v>1.375</v>
      </c>
      <c r="AG24" s="40">
        <f>AG12*Assumptions!$B$20</f>
        <v>1.375</v>
      </c>
      <c r="AH24" s="40">
        <f>AH12*Assumptions!$B$20</f>
        <v>1.375</v>
      </c>
      <c r="AI24" s="40">
        <f>AI12*Assumptions!$B$20</f>
        <v>1.375</v>
      </c>
      <c r="AJ24" s="40">
        <f>AJ12*Assumptions!$B$20</f>
        <v>1.4000000000000001</v>
      </c>
      <c r="AK24" s="40">
        <f>AK12*Assumptions!$B$20</f>
        <v>1.375</v>
      </c>
      <c r="AL24" s="40">
        <f>AL12*Assumptions!$B$20</f>
        <v>1.375</v>
      </c>
    </row>
    <row r="25" spans="1:38" hidden="1" outlineLevel="1" x14ac:dyDescent="0.25">
      <c r="A25" s="39" t="s">
        <v>313</v>
      </c>
      <c r="C25" s="40">
        <f>0+C24</f>
        <v>0.32500000000000001</v>
      </c>
      <c r="D25" s="40">
        <f t="shared" ref="D25:AL25" si="10">C25+D24</f>
        <v>0.625</v>
      </c>
      <c r="E25" s="40">
        <f t="shared" si="10"/>
        <v>0.95</v>
      </c>
      <c r="F25" s="40">
        <f t="shared" si="10"/>
        <v>1.25</v>
      </c>
      <c r="G25" s="40">
        <f t="shared" si="10"/>
        <v>1.575</v>
      </c>
      <c r="H25" s="40">
        <f t="shared" si="10"/>
        <v>1.875</v>
      </c>
      <c r="I25" s="40">
        <f t="shared" si="10"/>
        <v>2.2000000000000002</v>
      </c>
      <c r="J25" s="40">
        <f t="shared" si="10"/>
        <v>2.5</v>
      </c>
      <c r="K25" s="40">
        <f t="shared" si="10"/>
        <v>2.8250000000000002</v>
      </c>
      <c r="L25" s="40">
        <f t="shared" si="10"/>
        <v>3.125</v>
      </c>
      <c r="M25" s="40">
        <f t="shared" si="10"/>
        <v>3.45</v>
      </c>
      <c r="N25" s="40">
        <f t="shared" si="10"/>
        <v>3.75</v>
      </c>
      <c r="O25" s="40">
        <f t="shared" si="10"/>
        <v>4.6500000000000004</v>
      </c>
      <c r="P25" s="40">
        <f t="shared" si="10"/>
        <v>5.5750000000000002</v>
      </c>
      <c r="Q25" s="40">
        <f t="shared" si="10"/>
        <v>6.4750000000000005</v>
      </c>
      <c r="R25" s="40">
        <f t="shared" si="10"/>
        <v>7.4</v>
      </c>
      <c r="S25" s="40">
        <f t="shared" si="10"/>
        <v>8.3000000000000007</v>
      </c>
      <c r="T25" s="40">
        <f t="shared" si="10"/>
        <v>9.2250000000000014</v>
      </c>
      <c r="U25" s="40">
        <f t="shared" si="10"/>
        <v>10.125000000000002</v>
      </c>
      <c r="V25" s="40">
        <f t="shared" si="10"/>
        <v>11.050000000000002</v>
      </c>
      <c r="W25" s="40">
        <f t="shared" si="10"/>
        <v>11.950000000000003</v>
      </c>
      <c r="X25" s="40">
        <f t="shared" si="10"/>
        <v>12.875000000000004</v>
      </c>
      <c r="Y25" s="40">
        <f t="shared" si="10"/>
        <v>13.775000000000004</v>
      </c>
      <c r="Z25" s="40">
        <f t="shared" si="10"/>
        <v>14.700000000000005</v>
      </c>
      <c r="AA25" s="40">
        <f t="shared" si="10"/>
        <v>16.075000000000003</v>
      </c>
      <c r="AB25" s="40">
        <f t="shared" si="10"/>
        <v>17.450000000000003</v>
      </c>
      <c r="AC25" s="40">
        <f t="shared" si="10"/>
        <v>18.825000000000003</v>
      </c>
      <c r="AD25" s="40">
        <f t="shared" si="10"/>
        <v>20.200000000000003</v>
      </c>
      <c r="AE25" s="40">
        <f t="shared" si="10"/>
        <v>21.6</v>
      </c>
      <c r="AF25" s="40">
        <f t="shared" si="10"/>
        <v>22.975000000000001</v>
      </c>
      <c r="AG25" s="40">
        <f t="shared" si="10"/>
        <v>24.35</v>
      </c>
      <c r="AH25" s="40">
        <f t="shared" si="10"/>
        <v>25.725000000000001</v>
      </c>
      <c r="AI25" s="40">
        <f t="shared" si="10"/>
        <v>27.1</v>
      </c>
      <c r="AJ25" s="40">
        <f t="shared" si="10"/>
        <v>28.5</v>
      </c>
      <c r="AK25" s="40">
        <f t="shared" si="10"/>
        <v>29.875</v>
      </c>
      <c r="AL25" s="40">
        <f t="shared" si="10"/>
        <v>31.25</v>
      </c>
    </row>
    <row r="26" spans="1:38" x14ac:dyDescent="0.25">
      <c r="A26" s="2" t="s">
        <v>314</v>
      </c>
      <c r="C26" s="15">
        <f>ROUND(C25,0)-ROUND(0,0)</f>
        <v>0</v>
      </c>
      <c r="D26" s="15">
        <f t="shared" ref="D26:AL26" si="11">ROUND(D25,0)-ROUND(C25,0)</f>
        <v>1</v>
      </c>
      <c r="E26" s="15">
        <f t="shared" si="11"/>
        <v>0</v>
      </c>
      <c r="F26" s="15">
        <f t="shared" si="11"/>
        <v>0</v>
      </c>
      <c r="G26" s="15">
        <f t="shared" si="11"/>
        <v>1</v>
      </c>
      <c r="H26" s="15">
        <f t="shared" si="11"/>
        <v>0</v>
      </c>
      <c r="I26" s="15">
        <f t="shared" si="11"/>
        <v>0</v>
      </c>
      <c r="J26" s="15">
        <f t="shared" si="11"/>
        <v>1</v>
      </c>
      <c r="K26" s="15">
        <f t="shared" si="11"/>
        <v>0</v>
      </c>
      <c r="L26" s="15">
        <f t="shared" si="11"/>
        <v>0</v>
      </c>
      <c r="M26" s="15">
        <f t="shared" si="11"/>
        <v>0</v>
      </c>
      <c r="N26" s="15">
        <f t="shared" si="11"/>
        <v>1</v>
      </c>
      <c r="O26" s="15">
        <f t="shared" si="11"/>
        <v>1</v>
      </c>
      <c r="P26" s="15">
        <f t="shared" si="11"/>
        <v>1</v>
      </c>
      <c r="Q26" s="15">
        <f t="shared" si="11"/>
        <v>0</v>
      </c>
      <c r="R26" s="15">
        <f t="shared" si="11"/>
        <v>1</v>
      </c>
      <c r="S26" s="15">
        <f t="shared" si="11"/>
        <v>1</v>
      </c>
      <c r="T26" s="15">
        <f t="shared" si="11"/>
        <v>1</v>
      </c>
      <c r="U26" s="15">
        <f t="shared" si="11"/>
        <v>1</v>
      </c>
      <c r="V26" s="15">
        <f t="shared" si="11"/>
        <v>1</v>
      </c>
      <c r="W26" s="15">
        <f t="shared" si="11"/>
        <v>1</v>
      </c>
      <c r="X26" s="15">
        <f t="shared" si="11"/>
        <v>1</v>
      </c>
      <c r="Y26" s="15">
        <f t="shared" si="11"/>
        <v>1</v>
      </c>
      <c r="Z26" s="15">
        <f t="shared" si="11"/>
        <v>1</v>
      </c>
      <c r="AA26" s="15">
        <f t="shared" si="11"/>
        <v>1</v>
      </c>
      <c r="AB26" s="15">
        <f t="shared" si="11"/>
        <v>1</v>
      </c>
      <c r="AC26" s="15">
        <f t="shared" si="11"/>
        <v>2</v>
      </c>
      <c r="AD26" s="15">
        <f t="shared" si="11"/>
        <v>1</v>
      </c>
      <c r="AE26" s="15">
        <f t="shared" si="11"/>
        <v>2</v>
      </c>
      <c r="AF26" s="15">
        <f t="shared" si="11"/>
        <v>1</v>
      </c>
      <c r="AG26" s="15">
        <f t="shared" si="11"/>
        <v>1</v>
      </c>
      <c r="AH26" s="15">
        <f t="shared" si="11"/>
        <v>2</v>
      </c>
      <c r="AI26" s="15">
        <f t="shared" si="11"/>
        <v>1</v>
      </c>
      <c r="AJ26" s="15">
        <f t="shared" si="11"/>
        <v>2</v>
      </c>
      <c r="AK26" s="15">
        <f t="shared" si="11"/>
        <v>1</v>
      </c>
      <c r="AL26" s="15">
        <f t="shared" si="11"/>
        <v>1</v>
      </c>
    </row>
    <row r="27" spans="1:38" hidden="1" outlineLevel="1" x14ac:dyDescent="0.25">
      <c r="A27" s="39" t="s">
        <v>315</v>
      </c>
      <c r="C27" s="40">
        <f>INDEX(Assumptions!$B$21:$B$23,C7)/12</f>
        <v>0</v>
      </c>
      <c r="D27" s="40">
        <f>INDEX(Assumptions!$B$21:$B$23,D7)/12</f>
        <v>0</v>
      </c>
      <c r="E27" s="40">
        <f>INDEX(Assumptions!$B$21:$B$23,E7)/12</f>
        <v>0</v>
      </c>
      <c r="F27" s="40">
        <f>INDEX(Assumptions!$B$21:$B$23,F7)/12</f>
        <v>0</v>
      </c>
      <c r="G27" s="40">
        <f>INDEX(Assumptions!$B$21:$B$23,G7)/12</f>
        <v>0</v>
      </c>
      <c r="H27" s="40">
        <f>INDEX(Assumptions!$B$21:$B$23,H7)/12</f>
        <v>0</v>
      </c>
      <c r="I27" s="40">
        <f>INDEX(Assumptions!$B$21:$B$23,I7)/12</f>
        <v>0</v>
      </c>
      <c r="J27" s="40">
        <f>INDEX(Assumptions!$B$21:$B$23,J7)/12</f>
        <v>0</v>
      </c>
      <c r="K27" s="40">
        <f>INDEX(Assumptions!$B$21:$B$23,K7)/12</f>
        <v>0</v>
      </c>
      <c r="L27" s="40">
        <f>INDEX(Assumptions!$B$21:$B$23,L7)/12</f>
        <v>0</v>
      </c>
      <c r="M27" s="40">
        <f>INDEX(Assumptions!$B$21:$B$23,M7)/12</f>
        <v>0</v>
      </c>
      <c r="N27" s="40">
        <f>INDEX(Assumptions!$B$21:$B$23,N7)/12</f>
        <v>0</v>
      </c>
      <c r="O27" s="40">
        <f>INDEX(Assumptions!$B$21:$B$23,O7)/12</f>
        <v>8.3333333333333329E-2</v>
      </c>
      <c r="P27" s="40">
        <f>INDEX(Assumptions!$B$21:$B$23,P7)/12</f>
        <v>8.3333333333333329E-2</v>
      </c>
      <c r="Q27" s="40">
        <f>INDEX(Assumptions!$B$21:$B$23,Q7)/12</f>
        <v>8.3333333333333329E-2</v>
      </c>
      <c r="R27" s="40">
        <f>INDEX(Assumptions!$B$21:$B$23,R7)/12</f>
        <v>8.3333333333333329E-2</v>
      </c>
      <c r="S27" s="40">
        <f>INDEX(Assumptions!$B$21:$B$23,S7)/12</f>
        <v>8.3333333333333329E-2</v>
      </c>
      <c r="T27" s="40">
        <f>INDEX(Assumptions!$B$21:$B$23,T7)/12</f>
        <v>8.3333333333333329E-2</v>
      </c>
      <c r="U27" s="40">
        <f>INDEX(Assumptions!$B$21:$B$23,U7)/12</f>
        <v>8.3333333333333329E-2</v>
      </c>
      <c r="V27" s="40">
        <f>INDEX(Assumptions!$B$21:$B$23,V7)/12</f>
        <v>8.3333333333333329E-2</v>
      </c>
      <c r="W27" s="40">
        <f>INDEX(Assumptions!$B$21:$B$23,W7)/12</f>
        <v>8.3333333333333329E-2</v>
      </c>
      <c r="X27" s="40">
        <f>INDEX(Assumptions!$B$21:$B$23,X7)/12</f>
        <v>8.3333333333333329E-2</v>
      </c>
      <c r="Y27" s="40">
        <f>INDEX(Assumptions!$B$21:$B$23,Y7)/12</f>
        <v>8.3333333333333329E-2</v>
      </c>
      <c r="Z27" s="40">
        <f>INDEX(Assumptions!$B$21:$B$23,Z7)/12</f>
        <v>8.3333333333333329E-2</v>
      </c>
      <c r="AA27" s="40">
        <f>INDEX(Assumptions!$B$21:$B$23,AA7)/12</f>
        <v>0.16666666666666666</v>
      </c>
      <c r="AB27" s="40">
        <f>INDEX(Assumptions!$B$21:$B$23,AB7)/12</f>
        <v>0.16666666666666666</v>
      </c>
      <c r="AC27" s="40">
        <f>INDEX(Assumptions!$B$21:$B$23,AC7)/12</f>
        <v>0.16666666666666666</v>
      </c>
      <c r="AD27" s="40">
        <f>INDEX(Assumptions!$B$21:$B$23,AD7)/12</f>
        <v>0.16666666666666666</v>
      </c>
      <c r="AE27" s="40">
        <f>INDEX(Assumptions!$B$21:$B$23,AE7)/12</f>
        <v>0.16666666666666666</v>
      </c>
      <c r="AF27" s="40">
        <f>INDEX(Assumptions!$B$21:$B$23,AF7)/12</f>
        <v>0.16666666666666666</v>
      </c>
      <c r="AG27" s="40">
        <f>INDEX(Assumptions!$B$21:$B$23,AG7)/12</f>
        <v>0.16666666666666666</v>
      </c>
      <c r="AH27" s="40">
        <f>INDEX(Assumptions!$B$21:$B$23,AH7)/12</f>
        <v>0.16666666666666666</v>
      </c>
      <c r="AI27" s="40">
        <f>INDEX(Assumptions!$B$21:$B$23,AI7)/12</f>
        <v>0.16666666666666666</v>
      </c>
      <c r="AJ27" s="40">
        <f>INDEX(Assumptions!$B$21:$B$23,AJ7)/12</f>
        <v>0.16666666666666666</v>
      </c>
      <c r="AK27" s="40">
        <f>INDEX(Assumptions!$B$21:$B$23,AK7)/12</f>
        <v>0.16666666666666666</v>
      </c>
      <c r="AL27" s="40">
        <f>INDEX(Assumptions!$B$21:$B$23,AL7)/12</f>
        <v>0.16666666666666666</v>
      </c>
    </row>
    <row r="28" spans="1:38" hidden="1" outlineLevel="1" x14ac:dyDescent="0.25">
      <c r="A28" s="39" t="s">
        <v>316</v>
      </c>
      <c r="C28" s="40">
        <f>0+C27</f>
        <v>0</v>
      </c>
      <c r="D28" s="40">
        <f t="shared" ref="D28:AL28" si="12">C28+D27</f>
        <v>0</v>
      </c>
      <c r="E28" s="40">
        <f t="shared" si="12"/>
        <v>0</v>
      </c>
      <c r="F28" s="40">
        <f t="shared" si="12"/>
        <v>0</v>
      </c>
      <c r="G28" s="40">
        <f t="shared" si="12"/>
        <v>0</v>
      </c>
      <c r="H28" s="40">
        <f t="shared" si="12"/>
        <v>0</v>
      </c>
      <c r="I28" s="40">
        <f t="shared" si="12"/>
        <v>0</v>
      </c>
      <c r="J28" s="40">
        <f t="shared" si="12"/>
        <v>0</v>
      </c>
      <c r="K28" s="40">
        <f t="shared" si="12"/>
        <v>0</v>
      </c>
      <c r="L28" s="40">
        <f t="shared" si="12"/>
        <v>0</v>
      </c>
      <c r="M28" s="40">
        <f t="shared" si="12"/>
        <v>0</v>
      </c>
      <c r="N28" s="40">
        <f t="shared" si="12"/>
        <v>0</v>
      </c>
      <c r="O28" s="40">
        <f t="shared" si="12"/>
        <v>8.3333333333333329E-2</v>
      </c>
      <c r="P28" s="40">
        <f t="shared" si="12"/>
        <v>0.16666666666666666</v>
      </c>
      <c r="Q28" s="40">
        <f t="shared" si="12"/>
        <v>0.25</v>
      </c>
      <c r="R28" s="40">
        <f t="shared" si="12"/>
        <v>0.33333333333333331</v>
      </c>
      <c r="S28" s="40">
        <f t="shared" si="12"/>
        <v>0.41666666666666663</v>
      </c>
      <c r="T28" s="40">
        <f t="shared" si="12"/>
        <v>0.49999999999999994</v>
      </c>
      <c r="U28" s="40">
        <f t="shared" si="12"/>
        <v>0.58333333333333326</v>
      </c>
      <c r="V28" s="40">
        <f t="shared" si="12"/>
        <v>0.66666666666666663</v>
      </c>
      <c r="W28" s="40">
        <f t="shared" si="12"/>
        <v>0.75</v>
      </c>
      <c r="X28" s="40">
        <f t="shared" si="12"/>
        <v>0.83333333333333337</v>
      </c>
      <c r="Y28" s="40">
        <f t="shared" si="12"/>
        <v>0.91666666666666674</v>
      </c>
      <c r="Z28" s="40">
        <f t="shared" si="12"/>
        <v>1</v>
      </c>
      <c r="AA28" s="40">
        <f t="shared" si="12"/>
        <v>1.1666666666666667</v>
      </c>
      <c r="AB28" s="40">
        <f t="shared" si="12"/>
        <v>1.3333333333333335</v>
      </c>
      <c r="AC28" s="40">
        <f t="shared" si="12"/>
        <v>1.5000000000000002</v>
      </c>
      <c r="AD28" s="40">
        <f t="shared" si="12"/>
        <v>1.666666666666667</v>
      </c>
      <c r="AE28" s="40">
        <f t="shared" si="12"/>
        <v>1.8333333333333337</v>
      </c>
      <c r="AF28" s="40">
        <f t="shared" si="12"/>
        <v>2.0000000000000004</v>
      </c>
      <c r="AG28" s="40">
        <f t="shared" si="12"/>
        <v>2.166666666666667</v>
      </c>
      <c r="AH28" s="40">
        <f t="shared" si="12"/>
        <v>2.3333333333333335</v>
      </c>
      <c r="AI28" s="40">
        <f t="shared" si="12"/>
        <v>2.5</v>
      </c>
      <c r="AJ28" s="40">
        <f t="shared" si="12"/>
        <v>2.6666666666666665</v>
      </c>
      <c r="AK28" s="40">
        <f t="shared" si="12"/>
        <v>2.833333333333333</v>
      </c>
      <c r="AL28" s="40">
        <f t="shared" si="12"/>
        <v>2.9999999999999996</v>
      </c>
    </row>
    <row r="29" spans="1:38" x14ac:dyDescent="0.25">
      <c r="A29" s="2" t="s">
        <v>317</v>
      </c>
      <c r="C29" s="15">
        <f t="shared" ref="C29:AL29" si="13">IF(OR(C6=19,C6=27,C6=33),1,0)</f>
        <v>0</v>
      </c>
      <c r="D29" s="15">
        <f t="shared" si="13"/>
        <v>0</v>
      </c>
      <c r="E29" s="15">
        <f t="shared" si="13"/>
        <v>0</v>
      </c>
      <c r="F29" s="15">
        <f t="shared" si="13"/>
        <v>0</v>
      </c>
      <c r="G29" s="15">
        <f t="shared" si="13"/>
        <v>0</v>
      </c>
      <c r="H29" s="15">
        <f t="shared" si="13"/>
        <v>0</v>
      </c>
      <c r="I29" s="15">
        <f t="shared" si="13"/>
        <v>0</v>
      </c>
      <c r="J29" s="15">
        <f t="shared" si="13"/>
        <v>0</v>
      </c>
      <c r="K29" s="15">
        <f t="shared" si="13"/>
        <v>0</v>
      </c>
      <c r="L29" s="15">
        <f t="shared" si="13"/>
        <v>0</v>
      </c>
      <c r="M29" s="15">
        <f t="shared" si="13"/>
        <v>0</v>
      </c>
      <c r="N29" s="15">
        <f t="shared" si="13"/>
        <v>0</v>
      </c>
      <c r="O29" s="15">
        <f t="shared" si="13"/>
        <v>0</v>
      </c>
      <c r="P29" s="15">
        <f t="shared" si="13"/>
        <v>0</v>
      </c>
      <c r="Q29" s="15">
        <f t="shared" si="13"/>
        <v>0</v>
      </c>
      <c r="R29" s="15">
        <f t="shared" si="13"/>
        <v>0</v>
      </c>
      <c r="S29" s="15">
        <f t="shared" si="13"/>
        <v>0</v>
      </c>
      <c r="T29" s="15">
        <f t="shared" si="13"/>
        <v>0</v>
      </c>
      <c r="U29" s="15">
        <f t="shared" si="13"/>
        <v>1</v>
      </c>
      <c r="V29" s="15">
        <f t="shared" si="13"/>
        <v>0</v>
      </c>
      <c r="W29" s="15">
        <f t="shared" si="13"/>
        <v>0</v>
      </c>
      <c r="X29" s="15">
        <f t="shared" si="13"/>
        <v>0</v>
      </c>
      <c r="Y29" s="15">
        <f t="shared" si="13"/>
        <v>0</v>
      </c>
      <c r="Z29" s="15">
        <f t="shared" si="13"/>
        <v>0</v>
      </c>
      <c r="AA29" s="15">
        <f t="shared" si="13"/>
        <v>0</v>
      </c>
      <c r="AB29" s="15">
        <f t="shared" si="13"/>
        <v>0</v>
      </c>
      <c r="AC29" s="15">
        <f t="shared" si="13"/>
        <v>1</v>
      </c>
      <c r="AD29" s="15">
        <f t="shared" si="13"/>
        <v>0</v>
      </c>
      <c r="AE29" s="15">
        <f t="shared" si="13"/>
        <v>0</v>
      </c>
      <c r="AF29" s="15">
        <f t="shared" si="13"/>
        <v>0</v>
      </c>
      <c r="AG29" s="15">
        <f t="shared" si="13"/>
        <v>0</v>
      </c>
      <c r="AH29" s="15">
        <f t="shared" si="13"/>
        <v>0</v>
      </c>
      <c r="AI29" s="15">
        <f t="shared" si="13"/>
        <v>1</v>
      </c>
      <c r="AJ29" s="15">
        <f t="shared" si="13"/>
        <v>0</v>
      </c>
      <c r="AK29" s="15">
        <f t="shared" si="13"/>
        <v>0</v>
      </c>
      <c r="AL29" s="15">
        <f t="shared" si="13"/>
        <v>0</v>
      </c>
    </row>
    <row r="30" spans="1:38" x14ac:dyDescent="0.25">
      <c r="A30" s="3" t="s">
        <v>318</v>
      </c>
      <c r="C30" s="41">
        <f t="shared" ref="C30:AL30" ca="1" si="14">C23+C26</f>
        <v>0</v>
      </c>
      <c r="D30" s="41">
        <f t="shared" ca="1" si="14"/>
        <v>1</v>
      </c>
      <c r="E30" s="41">
        <f t="shared" ca="1" si="14"/>
        <v>1</v>
      </c>
      <c r="F30" s="41">
        <f t="shared" ca="1" si="14"/>
        <v>0</v>
      </c>
      <c r="G30" s="41">
        <f t="shared" ca="1" si="14"/>
        <v>1</v>
      </c>
      <c r="H30" s="41">
        <f t="shared" ca="1" si="14"/>
        <v>0</v>
      </c>
      <c r="I30" s="41">
        <f t="shared" ca="1" si="14"/>
        <v>1</v>
      </c>
      <c r="J30" s="41">
        <f t="shared" ca="1" si="14"/>
        <v>1</v>
      </c>
      <c r="K30" s="41">
        <f t="shared" ca="1" si="14"/>
        <v>0</v>
      </c>
      <c r="L30" s="41">
        <f t="shared" ca="1" si="14"/>
        <v>0</v>
      </c>
      <c r="M30" s="41">
        <f t="shared" ca="1" si="14"/>
        <v>0</v>
      </c>
      <c r="N30" s="41">
        <f t="shared" ca="1" si="14"/>
        <v>1</v>
      </c>
      <c r="O30" s="41">
        <f t="shared" ca="1" si="14"/>
        <v>1</v>
      </c>
      <c r="P30" s="41">
        <f t="shared" ca="1" si="14"/>
        <v>1</v>
      </c>
      <c r="Q30" s="41">
        <f t="shared" ca="1" si="14"/>
        <v>1</v>
      </c>
      <c r="R30" s="41">
        <f t="shared" ca="1" si="14"/>
        <v>1</v>
      </c>
      <c r="S30" s="41">
        <f t="shared" ca="1" si="14"/>
        <v>1</v>
      </c>
      <c r="T30" s="41">
        <f t="shared" ca="1" si="14"/>
        <v>2</v>
      </c>
      <c r="U30" s="41">
        <f t="shared" ca="1" si="14"/>
        <v>1</v>
      </c>
      <c r="V30" s="41">
        <f t="shared" ca="1" si="14"/>
        <v>2</v>
      </c>
      <c r="W30" s="41">
        <f t="shared" ca="1" si="14"/>
        <v>1</v>
      </c>
      <c r="X30" s="41">
        <f t="shared" ca="1" si="14"/>
        <v>1</v>
      </c>
      <c r="Y30" s="41">
        <f t="shared" ca="1" si="14"/>
        <v>2</v>
      </c>
      <c r="Z30" s="41">
        <f t="shared" ca="1" si="14"/>
        <v>1</v>
      </c>
      <c r="AA30" s="41">
        <f t="shared" ca="1" si="14"/>
        <v>2</v>
      </c>
      <c r="AB30" s="41">
        <f t="shared" ca="1" si="14"/>
        <v>1</v>
      </c>
      <c r="AC30" s="41">
        <f t="shared" ca="1" si="14"/>
        <v>2</v>
      </c>
      <c r="AD30" s="41">
        <f t="shared" ca="1" si="14"/>
        <v>2</v>
      </c>
      <c r="AE30" s="41">
        <f t="shared" ca="1" si="14"/>
        <v>2</v>
      </c>
      <c r="AF30" s="41">
        <f t="shared" ca="1" si="14"/>
        <v>2</v>
      </c>
      <c r="AG30" s="41">
        <f t="shared" ca="1" si="14"/>
        <v>1</v>
      </c>
      <c r="AH30" s="41">
        <f t="shared" ca="1" si="14"/>
        <v>3</v>
      </c>
      <c r="AI30" s="41">
        <f t="shared" ca="1" si="14"/>
        <v>2</v>
      </c>
      <c r="AJ30" s="41">
        <f t="shared" ca="1" si="14"/>
        <v>2</v>
      </c>
      <c r="AK30" s="41">
        <f t="shared" ca="1" si="14"/>
        <v>2</v>
      </c>
      <c r="AL30" s="41">
        <f t="shared" ca="1" si="14"/>
        <v>2</v>
      </c>
    </row>
    <row r="31" spans="1:38" x14ac:dyDescent="0.25">
      <c r="A31" s="2" t="s">
        <v>319</v>
      </c>
      <c r="C31" s="15">
        <f t="shared" ref="C31:AL31" ca="1" si="15">C22+C29</f>
        <v>0</v>
      </c>
      <c r="D31" s="15">
        <f t="shared" ca="1" si="15"/>
        <v>0</v>
      </c>
      <c r="E31" s="15">
        <f t="shared" ca="1" si="15"/>
        <v>2</v>
      </c>
      <c r="F31" s="15">
        <f t="shared" ca="1" si="15"/>
        <v>1</v>
      </c>
      <c r="G31" s="15">
        <f t="shared" ca="1" si="15"/>
        <v>0</v>
      </c>
      <c r="H31" s="15">
        <f t="shared" ca="1" si="15"/>
        <v>0</v>
      </c>
      <c r="I31" s="15">
        <f t="shared" ca="1" si="15"/>
        <v>0</v>
      </c>
      <c r="J31" s="15">
        <f t="shared" ca="1" si="15"/>
        <v>0</v>
      </c>
      <c r="K31" s="15">
        <f t="shared" ca="1" si="15"/>
        <v>1</v>
      </c>
      <c r="L31" s="15">
        <f t="shared" ca="1" si="15"/>
        <v>0</v>
      </c>
      <c r="M31" s="15">
        <f t="shared" ca="1" si="15"/>
        <v>0</v>
      </c>
      <c r="N31" s="15">
        <f t="shared" ca="1" si="15"/>
        <v>1</v>
      </c>
      <c r="O31" s="15">
        <f t="shared" ca="1" si="15"/>
        <v>0</v>
      </c>
      <c r="P31" s="15">
        <f t="shared" ca="1" si="15"/>
        <v>0</v>
      </c>
      <c r="Q31" s="15">
        <f t="shared" ca="1" si="15"/>
        <v>0</v>
      </c>
      <c r="R31" s="15">
        <f t="shared" ca="1" si="15"/>
        <v>1</v>
      </c>
      <c r="S31" s="15">
        <f t="shared" ca="1" si="15"/>
        <v>1</v>
      </c>
      <c r="T31" s="15">
        <f t="shared" ca="1" si="15"/>
        <v>0</v>
      </c>
      <c r="U31" s="15">
        <f t="shared" ca="1" si="15"/>
        <v>2</v>
      </c>
      <c r="V31" s="15">
        <f t="shared" ca="1" si="15"/>
        <v>0</v>
      </c>
      <c r="W31" s="15">
        <f t="shared" ca="1" si="15"/>
        <v>1</v>
      </c>
      <c r="X31" s="15">
        <f t="shared" ca="1" si="15"/>
        <v>1</v>
      </c>
      <c r="Y31" s="15">
        <f t="shared" ca="1" si="15"/>
        <v>1</v>
      </c>
      <c r="Z31" s="15">
        <f t="shared" ca="1" si="15"/>
        <v>1</v>
      </c>
      <c r="AA31" s="15">
        <f t="shared" ca="1" si="15"/>
        <v>0</v>
      </c>
      <c r="AB31" s="15">
        <f t="shared" ca="1" si="15"/>
        <v>1</v>
      </c>
      <c r="AC31" s="15">
        <f t="shared" ca="1" si="15"/>
        <v>2</v>
      </c>
      <c r="AD31" s="15">
        <f t="shared" ca="1" si="15"/>
        <v>1</v>
      </c>
      <c r="AE31" s="15">
        <f t="shared" ca="1" si="15"/>
        <v>1</v>
      </c>
      <c r="AF31" s="15">
        <f t="shared" ca="1" si="15"/>
        <v>1</v>
      </c>
      <c r="AG31" s="15">
        <f t="shared" ca="1" si="15"/>
        <v>1</v>
      </c>
      <c r="AH31" s="15">
        <f t="shared" ca="1" si="15"/>
        <v>1</v>
      </c>
      <c r="AI31" s="15">
        <f t="shared" ca="1" si="15"/>
        <v>2</v>
      </c>
      <c r="AJ31" s="15">
        <f t="shared" ca="1" si="15"/>
        <v>1</v>
      </c>
      <c r="AK31" s="15">
        <f t="shared" ca="1" si="15"/>
        <v>1</v>
      </c>
      <c r="AL31" s="15">
        <f t="shared" ca="1" si="15"/>
        <v>1</v>
      </c>
    </row>
    <row r="32" spans="1:38" x14ac:dyDescent="0.25">
      <c r="A32" s="3" t="s">
        <v>320</v>
      </c>
      <c r="C32" s="41">
        <f ca="1">IF(C6&gt;Assumptions!$B$115,OFFSET(C31,0,-Assumptions!$B$115),0)</f>
        <v>0</v>
      </c>
      <c r="D32" s="41">
        <f ca="1">IF(D6&gt;Assumptions!$B$115,OFFSET(D31,0,-Assumptions!$B$115),0)</f>
        <v>0</v>
      </c>
      <c r="E32" s="41">
        <f ca="1">IF(E6&gt;Assumptions!$B$115,OFFSET(E31,0,-Assumptions!$B$115),0)</f>
        <v>2</v>
      </c>
      <c r="F32" s="41">
        <f ca="1">IF(F6&gt;Assumptions!$B$115,OFFSET(F31,0,-Assumptions!$B$115),0)</f>
        <v>1</v>
      </c>
      <c r="G32" s="41">
        <f ca="1">IF(G6&gt;Assumptions!$B$115,OFFSET(G31,0,-Assumptions!$B$115),0)</f>
        <v>0</v>
      </c>
      <c r="H32" s="41">
        <f ca="1">IF(H6&gt;Assumptions!$B$115,OFFSET(H31,0,-Assumptions!$B$115),0)</f>
        <v>0</v>
      </c>
      <c r="I32" s="41">
        <f ca="1">IF(I6&gt;Assumptions!$B$115,OFFSET(I31,0,-Assumptions!$B$115),0)</f>
        <v>0</v>
      </c>
      <c r="J32" s="41">
        <f ca="1">IF(J6&gt;Assumptions!$B$115,OFFSET(J31,0,-Assumptions!$B$115),0)</f>
        <v>0</v>
      </c>
      <c r="K32" s="41">
        <f ca="1">IF(K6&gt;Assumptions!$B$115,OFFSET(K31,0,-Assumptions!$B$115),0)</f>
        <v>1</v>
      </c>
      <c r="L32" s="41">
        <f ca="1">IF(L6&gt;Assumptions!$B$115,OFFSET(L31,0,-Assumptions!$B$115),0)</f>
        <v>0</v>
      </c>
      <c r="M32" s="41">
        <f ca="1">IF(M6&gt;Assumptions!$B$115,OFFSET(M31,0,-Assumptions!$B$115),0)</f>
        <v>0</v>
      </c>
      <c r="N32" s="41">
        <f ca="1">IF(N6&gt;Assumptions!$B$115,OFFSET(N31,0,-Assumptions!$B$115),0)</f>
        <v>1</v>
      </c>
      <c r="O32" s="41">
        <f ca="1">IF(O6&gt;Assumptions!$B$115,OFFSET(O31,0,-Assumptions!$B$115),0)</f>
        <v>0</v>
      </c>
      <c r="P32" s="41">
        <f ca="1">IF(P6&gt;Assumptions!$B$115,OFFSET(P31,0,-Assumptions!$B$115),0)</f>
        <v>0</v>
      </c>
      <c r="Q32" s="41">
        <f ca="1">IF(Q6&gt;Assumptions!$B$115,OFFSET(Q31,0,-Assumptions!$B$115),0)</f>
        <v>0</v>
      </c>
      <c r="R32" s="41">
        <f ca="1">IF(R6&gt;Assumptions!$B$115,OFFSET(R31,0,-Assumptions!$B$115),0)</f>
        <v>1</v>
      </c>
      <c r="S32" s="41">
        <f ca="1">IF(S6&gt;Assumptions!$B$115,OFFSET(S31,0,-Assumptions!$B$115),0)</f>
        <v>1</v>
      </c>
      <c r="T32" s="41">
        <f ca="1">IF(T6&gt;Assumptions!$B$115,OFFSET(T31,0,-Assumptions!$B$115),0)</f>
        <v>0</v>
      </c>
      <c r="U32" s="41">
        <f ca="1">IF(U6&gt;Assumptions!$B$115,OFFSET(U31,0,-Assumptions!$B$115),0)</f>
        <v>2</v>
      </c>
      <c r="V32" s="41">
        <f ca="1">IF(V6&gt;Assumptions!$B$115,OFFSET(V31,0,-Assumptions!$B$115),0)</f>
        <v>0</v>
      </c>
      <c r="W32" s="41">
        <f ca="1">IF(W6&gt;Assumptions!$B$115,OFFSET(W31,0,-Assumptions!$B$115),0)</f>
        <v>1</v>
      </c>
      <c r="X32" s="41">
        <f ca="1">IF(X6&gt;Assumptions!$B$115,OFFSET(X31,0,-Assumptions!$B$115),0)</f>
        <v>1</v>
      </c>
      <c r="Y32" s="41">
        <f ca="1">IF(Y6&gt;Assumptions!$B$115,OFFSET(Y31,0,-Assumptions!$B$115),0)</f>
        <v>1</v>
      </c>
      <c r="Z32" s="41">
        <f ca="1">IF(Z6&gt;Assumptions!$B$115,OFFSET(Z31,0,-Assumptions!$B$115),0)</f>
        <v>1</v>
      </c>
      <c r="AA32" s="41">
        <f ca="1">IF(AA6&gt;Assumptions!$B$115,OFFSET(AA31,0,-Assumptions!$B$115),0)</f>
        <v>0</v>
      </c>
      <c r="AB32" s="41">
        <f ca="1">IF(AB6&gt;Assumptions!$B$115,OFFSET(AB31,0,-Assumptions!$B$115),0)</f>
        <v>1</v>
      </c>
      <c r="AC32" s="41">
        <f ca="1">IF(AC6&gt;Assumptions!$B$115,OFFSET(AC31,0,-Assumptions!$B$115),0)</f>
        <v>2</v>
      </c>
      <c r="AD32" s="41">
        <f ca="1">IF(AD6&gt;Assumptions!$B$115,OFFSET(AD31,0,-Assumptions!$B$115),0)</f>
        <v>1</v>
      </c>
      <c r="AE32" s="41">
        <f ca="1">IF(AE6&gt;Assumptions!$B$115,OFFSET(AE31,0,-Assumptions!$B$115),0)</f>
        <v>1</v>
      </c>
      <c r="AF32" s="41">
        <f ca="1">IF(AF6&gt;Assumptions!$B$115,OFFSET(AF31,0,-Assumptions!$B$115),0)</f>
        <v>1</v>
      </c>
      <c r="AG32" s="41">
        <f ca="1">IF(AG6&gt;Assumptions!$B$115,OFFSET(AG31,0,-Assumptions!$B$115),0)</f>
        <v>1</v>
      </c>
      <c r="AH32" s="41">
        <f ca="1">IF(AH6&gt;Assumptions!$B$115,OFFSET(AH31,0,-Assumptions!$B$115),0)</f>
        <v>1</v>
      </c>
      <c r="AI32" s="41">
        <f ca="1">IF(AI6&gt;Assumptions!$B$115,OFFSET(AI31,0,-Assumptions!$B$115),0)</f>
        <v>2</v>
      </c>
      <c r="AJ32" s="41">
        <f ca="1">IF(AJ6&gt;Assumptions!$B$115,OFFSET(AJ31,0,-Assumptions!$B$115),0)</f>
        <v>1</v>
      </c>
      <c r="AK32" s="41">
        <f ca="1">IF(AK6&gt;Assumptions!$B$115,OFFSET(AK31,0,-Assumptions!$B$115),0)</f>
        <v>1</v>
      </c>
      <c r="AL32" s="41">
        <f ca="1">IF(AL6&gt;Assumptions!$B$115,OFFSET(AL31,0,-Assumptions!$B$115),0)</f>
        <v>1</v>
      </c>
    </row>
    <row r="34" spans="1:38" x14ac:dyDescent="0.25">
      <c r="A34" s="5" t="s">
        <v>321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</row>
    <row r="35" spans="1:38" hidden="1" outlineLevel="1" x14ac:dyDescent="0.25">
      <c r="A35" s="39" t="s">
        <v>322</v>
      </c>
      <c r="C35" s="40">
        <f>0*Assumptions!$B$40</f>
        <v>0</v>
      </c>
      <c r="D35" s="40">
        <f ca="1">C38*Assumptions!$B$40</f>
        <v>0</v>
      </c>
      <c r="E35" s="40">
        <f ca="1">D38*Assumptions!$B$40</f>
        <v>8.7416109546967213E-3</v>
      </c>
      <c r="F35" s="40">
        <f ca="1">E38*Assumptions!$B$40</f>
        <v>1.7483221909393443E-2</v>
      </c>
      <c r="G35" s="40">
        <f ca="1">F38*Assumptions!$B$40</f>
        <v>1.7483221909393443E-2</v>
      </c>
      <c r="H35" s="40">
        <f ca="1">G38*Assumptions!$B$40</f>
        <v>2.6224832864090164E-2</v>
      </c>
      <c r="I35" s="40">
        <f ca="1">H38*Assumptions!$B$40</f>
        <v>2.6224832864090164E-2</v>
      </c>
      <c r="J35" s="40">
        <f ca="1">I38*Assumptions!$B$40</f>
        <v>3.4966443818786885E-2</v>
      </c>
      <c r="K35" s="40">
        <f ca="1">J38*Assumptions!$B$40</f>
        <v>4.3708054773483607E-2</v>
      </c>
      <c r="L35" s="40">
        <f ca="1">K38*Assumptions!$B$40</f>
        <v>4.3708054773483607E-2</v>
      </c>
      <c r="M35" s="40">
        <f ca="1">L38*Assumptions!$B$40</f>
        <v>4.3708054773483607E-2</v>
      </c>
      <c r="N35" s="40">
        <f ca="1">M38*Assumptions!$B$40</f>
        <v>4.3708054773483607E-2</v>
      </c>
      <c r="O35" s="40">
        <f ca="1">N38*Assumptions!$B$40</f>
        <v>5.2449665728180328E-2</v>
      </c>
      <c r="P35" s="40">
        <f ca="1">O38*Assumptions!$B$40</f>
        <v>6.1191276682877049E-2</v>
      </c>
      <c r="Q35" s="40">
        <f ca="1">P38*Assumptions!$B$40</f>
        <v>6.9932887637573771E-2</v>
      </c>
      <c r="R35" s="40">
        <f ca="1">Q38*Assumptions!$B$40</f>
        <v>7.8674498592270492E-2</v>
      </c>
      <c r="S35" s="40">
        <f ca="1">R38*Assumptions!$B$40</f>
        <v>7.8674498592270492E-2</v>
      </c>
      <c r="T35" s="40">
        <f ca="1">S38*Assumptions!$B$40</f>
        <v>8.7416109546967213E-2</v>
      </c>
      <c r="U35" s="40">
        <f ca="1">T38*Assumptions!$B$40</f>
        <v>0.10489933145636066</v>
      </c>
      <c r="V35" s="40">
        <f ca="1">U38*Assumptions!$B$40</f>
        <v>0.11364094241105738</v>
      </c>
      <c r="W35" s="40">
        <f ca="1">V38*Assumptions!$B$40</f>
        <v>0.13112416432045082</v>
      </c>
      <c r="X35" s="40">
        <f ca="1">W38*Assumptions!$B$40</f>
        <v>0.13986577527514754</v>
      </c>
      <c r="Y35" s="40">
        <f ca="1">X38*Assumptions!$B$40</f>
        <v>0.14860738622984426</v>
      </c>
      <c r="Z35" s="40">
        <f ca="1">Y38*Assumptions!$B$40</f>
        <v>0.16609060813923771</v>
      </c>
      <c r="AA35" s="40">
        <f ca="1">Z38*Assumptions!$B$40</f>
        <v>0.16609060813923771</v>
      </c>
      <c r="AB35" s="40">
        <f ca="1">AA38*Assumptions!$B$40</f>
        <v>0.18357383004863115</v>
      </c>
      <c r="AC35" s="40">
        <f ca="1">AB38*Assumptions!$B$40</f>
        <v>0.19231544100332787</v>
      </c>
      <c r="AD35" s="40">
        <f ca="1">AC38*Assumptions!$B$40</f>
        <v>0.20979866291272131</v>
      </c>
      <c r="AE35" s="40">
        <f ca="1">AD38*Assumptions!$B$40</f>
        <v>0.22728188482211475</v>
      </c>
      <c r="AF35" s="40">
        <f ca="1">AE38*Assumptions!$B$40</f>
        <v>0.23602349577681148</v>
      </c>
      <c r="AG35" s="40">
        <f ca="1">AF38*Assumptions!$B$40</f>
        <v>0.25350671768620492</v>
      </c>
      <c r="AH35" s="40">
        <f ca="1">AG38*Assumptions!$B$40</f>
        <v>0.26224832864090164</v>
      </c>
      <c r="AI35" s="40">
        <f ca="1">AH38*Assumptions!$B$40</f>
        <v>0.2884731615049918</v>
      </c>
      <c r="AJ35" s="40">
        <f ca="1">AI38*Assumptions!$B$40</f>
        <v>0.29721477245968853</v>
      </c>
      <c r="AK35" s="40">
        <f ca="1">AJ38*Assumptions!$B$40</f>
        <v>0.31469799436908197</v>
      </c>
      <c r="AL35" s="40">
        <f ca="1">AK38*Assumptions!$B$40</f>
        <v>0.33218121627847541</v>
      </c>
    </row>
    <row r="36" spans="1:38" hidden="1" outlineLevel="1" x14ac:dyDescent="0.25">
      <c r="A36" s="39" t="s">
        <v>323</v>
      </c>
      <c r="C36" s="40">
        <f>0+C35</f>
        <v>0</v>
      </c>
      <c r="D36" s="40">
        <f t="shared" ref="D36:AL36" ca="1" si="16">C36+D35</f>
        <v>0</v>
      </c>
      <c r="E36" s="40">
        <f t="shared" ca="1" si="16"/>
        <v>8.7416109546967213E-3</v>
      </c>
      <c r="F36" s="40">
        <f t="shared" ca="1" si="16"/>
        <v>2.6224832864090164E-2</v>
      </c>
      <c r="G36" s="40">
        <f t="shared" ca="1" si="16"/>
        <v>4.3708054773483607E-2</v>
      </c>
      <c r="H36" s="40">
        <f t="shared" ca="1" si="16"/>
        <v>6.9932887637573771E-2</v>
      </c>
      <c r="I36" s="40">
        <f t="shared" ca="1" si="16"/>
        <v>9.6157720501663935E-2</v>
      </c>
      <c r="J36" s="40">
        <f t="shared" ca="1" si="16"/>
        <v>0.13112416432045082</v>
      </c>
      <c r="K36" s="40">
        <f t="shared" ca="1" si="16"/>
        <v>0.17483221909393443</v>
      </c>
      <c r="L36" s="40">
        <f t="shared" ca="1" si="16"/>
        <v>0.21854027386741803</v>
      </c>
      <c r="M36" s="40">
        <f t="shared" ca="1" si="16"/>
        <v>0.26224832864090164</v>
      </c>
      <c r="N36" s="40">
        <f t="shared" ca="1" si="16"/>
        <v>0.30595638341438525</v>
      </c>
      <c r="O36" s="40">
        <f t="shared" ca="1" si="16"/>
        <v>0.35840604914256557</v>
      </c>
      <c r="P36" s="40">
        <f t="shared" ca="1" si="16"/>
        <v>0.41959732582544262</v>
      </c>
      <c r="Q36" s="40">
        <f t="shared" ca="1" si="16"/>
        <v>0.48953021346301639</v>
      </c>
      <c r="R36" s="40">
        <f t="shared" ca="1" si="16"/>
        <v>0.56820471205528689</v>
      </c>
      <c r="S36" s="40">
        <f t="shared" ca="1" si="16"/>
        <v>0.64687921064755738</v>
      </c>
      <c r="T36" s="40">
        <f t="shared" ca="1" si="16"/>
        <v>0.73429532019452459</v>
      </c>
      <c r="U36" s="40">
        <f t="shared" ca="1" si="16"/>
        <v>0.83919465165088525</v>
      </c>
      <c r="V36" s="40">
        <f t="shared" ca="1" si="16"/>
        <v>0.95283559406194263</v>
      </c>
      <c r="W36" s="40">
        <f t="shared" ca="1" si="16"/>
        <v>1.0839597583823934</v>
      </c>
      <c r="X36" s="40">
        <f t="shared" ca="1" si="16"/>
        <v>1.223825533657541</v>
      </c>
      <c r="Y36" s="40">
        <f t="shared" ca="1" si="16"/>
        <v>1.3724329198873852</v>
      </c>
      <c r="Z36" s="40">
        <f t="shared" ca="1" si="16"/>
        <v>1.538523528026623</v>
      </c>
      <c r="AA36" s="40">
        <f t="shared" ca="1" si="16"/>
        <v>1.7046141361658607</v>
      </c>
      <c r="AB36" s="40">
        <f t="shared" ca="1" si="16"/>
        <v>1.8881879662144918</v>
      </c>
      <c r="AC36" s="40">
        <f t="shared" ca="1" si="16"/>
        <v>2.0805034072178197</v>
      </c>
      <c r="AD36" s="40">
        <f t="shared" ca="1" si="16"/>
        <v>2.290302070130541</v>
      </c>
      <c r="AE36" s="40">
        <f t="shared" ca="1" si="16"/>
        <v>2.5175839549526557</v>
      </c>
      <c r="AF36" s="40">
        <f t="shared" ca="1" si="16"/>
        <v>2.7536074507294672</v>
      </c>
      <c r="AG36" s="40">
        <f t="shared" ca="1" si="16"/>
        <v>3.0071141684156721</v>
      </c>
      <c r="AH36" s="40">
        <f t="shared" ca="1" si="16"/>
        <v>3.2693624970565738</v>
      </c>
      <c r="AI36" s="40">
        <f t="shared" ca="1" si="16"/>
        <v>3.5578356585615656</v>
      </c>
      <c r="AJ36" s="40">
        <f t="shared" ca="1" si="16"/>
        <v>3.8550504310212541</v>
      </c>
      <c r="AK36" s="40">
        <f t="shared" ca="1" si="16"/>
        <v>4.1697484253903365</v>
      </c>
      <c r="AL36" s="40">
        <f t="shared" ca="1" si="16"/>
        <v>4.5019296416688119</v>
      </c>
    </row>
    <row r="37" spans="1:38" x14ac:dyDescent="0.25">
      <c r="A37" s="2" t="s">
        <v>324</v>
      </c>
      <c r="C37" s="15">
        <f>ROUND(C36,0)-ROUND(0,0)</f>
        <v>0</v>
      </c>
      <c r="D37" s="15">
        <f t="shared" ref="D37:AL37" ca="1" si="17">ROUND(D36,0)-ROUND(C36,0)</f>
        <v>0</v>
      </c>
      <c r="E37" s="15">
        <f t="shared" ca="1" si="17"/>
        <v>0</v>
      </c>
      <c r="F37" s="15">
        <f t="shared" ca="1" si="17"/>
        <v>0</v>
      </c>
      <c r="G37" s="15">
        <f t="shared" ca="1" si="17"/>
        <v>0</v>
      </c>
      <c r="H37" s="15">
        <f t="shared" ca="1" si="17"/>
        <v>0</v>
      </c>
      <c r="I37" s="15">
        <f t="shared" ca="1" si="17"/>
        <v>0</v>
      </c>
      <c r="J37" s="15">
        <f t="shared" ca="1" si="17"/>
        <v>0</v>
      </c>
      <c r="K37" s="15">
        <f t="shared" ca="1" si="17"/>
        <v>0</v>
      </c>
      <c r="L37" s="15">
        <f t="shared" ca="1" si="17"/>
        <v>0</v>
      </c>
      <c r="M37" s="15">
        <f t="shared" ca="1" si="17"/>
        <v>0</v>
      </c>
      <c r="N37" s="15">
        <f t="shared" ca="1" si="17"/>
        <v>0</v>
      </c>
      <c r="O37" s="15">
        <f t="shared" ca="1" si="17"/>
        <v>0</v>
      </c>
      <c r="P37" s="15">
        <f t="shared" ca="1" si="17"/>
        <v>0</v>
      </c>
      <c r="Q37" s="15">
        <f t="shared" ca="1" si="17"/>
        <v>0</v>
      </c>
      <c r="R37" s="15">
        <f t="shared" ca="1" si="17"/>
        <v>1</v>
      </c>
      <c r="S37" s="15">
        <f t="shared" ca="1" si="17"/>
        <v>0</v>
      </c>
      <c r="T37" s="15">
        <f t="shared" ca="1" si="17"/>
        <v>0</v>
      </c>
      <c r="U37" s="15">
        <f t="shared" ca="1" si="17"/>
        <v>0</v>
      </c>
      <c r="V37" s="15">
        <f t="shared" ca="1" si="17"/>
        <v>0</v>
      </c>
      <c r="W37" s="15">
        <f t="shared" ca="1" si="17"/>
        <v>0</v>
      </c>
      <c r="X37" s="15">
        <f t="shared" ca="1" si="17"/>
        <v>0</v>
      </c>
      <c r="Y37" s="15">
        <f t="shared" ca="1" si="17"/>
        <v>0</v>
      </c>
      <c r="Z37" s="15">
        <f t="shared" ca="1" si="17"/>
        <v>1</v>
      </c>
      <c r="AA37" s="15">
        <f t="shared" ca="1" si="17"/>
        <v>0</v>
      </c>
      <c r="AB37" s="15">
        <f t="shared" ca="1" si="17"/>
        <v>0</v>
      </c>
      <c r="AC37" s="15">
        <f t="shared" ca="1" si="17"/>
        <v>0</v>
      </c>
      <c r="AD37" s="15">
        <f t="shared" ca="1" si="17"/>
        <v>0</v>
      </c>
      <c r="AE37" s="15">
        <f t="shared" ca="1" si="17"/>
        <v>1</v>
      </c>
      <c r="AF37" s="15">
        <f t="shared" ca="1" si="17"/>
        <v>0</v>
      </c>
      <c r="AG37" s="15">
        <f t="shared" ca="1" si="17"/>
        <v>0</v>
      </c>
      <c r="AH37" s="15">
        <f t="shared" ca="1" si="17"/>
        <v>0</v>
      </c>
      <c r="AI37" s="15">
        <f t="shared" ca="1" si="17"/>
        <v>1</v>
      </c>
      <c r="AJ37" s="15">
        <f t="shared" ca="1" si="17"/>
        <v>0</v>
      </c>
      <c r="AK37" s="15">
        <f t="shared" ca="1" si="17"/>
        <v>0</v>
      </c>
      <c r="AL37" s="15">
        <f t="shared" ca="1" si="17"/>
        <v>1</v>
      </c>
    </row>
    <row r="38" spans="1:38" x14ac:dyDescent="0.25">
      <c r="A38" s="3" t="s">
        <v>29</v>
      </c>
      <c r="C38" s="41">
        <f ca="1">0-C37+C30</f>
        <v>0</v>
      </c>
      <c r="D38" s="41">
        <f t="shared" ref="D38:AL38" ca="1" si="18">C38-D37+D30</f>
        <v>1</v>
      </c>
      <c r="E38" s="41">
        <f t="shared" ca="1" si="18"/>
        <v>2</v>
      </c>
      <c r="F38" s="41">
        <f t="shared" ca="1" si="18"/>
        <v>2</v>
      </c>
      <c r="G38" s="41">
        <f t="shared" ca="1" si="18"/>
        <v>3</v>
      </c>
      <c r="H38" s="41">
        <f t="shared" ca="1" si="18"/>
        <v>3</v>
      </c>
      <c r="I38" s="41">
        <f t="shared" ca="1" si="18"/>
        <v>4</v>
      </c>
      <c r="J38" s="41">
        <f t="shared" ca="1" si="18"/>
        <v>5</v>
      </c>
      <c r="K38" s="41">
        <f t="shared" ca="1" si="18"/>
        <v>5</v>
      </c>
      <c r="L38" s="41">
        <f t="shared" ca="1" si="18"/>
        <v>5</v>
      </c>
      <c r="M38" s="41">
        <f t="shared" ca="1" si="18"/>
        <v>5</v>
      </c>
      <c r="N38" s="41">
        <f t="shared" ca="1" si="18"/>
        <v>6</v>
      </c>
      <c r="O38" s="41">
        <f t="shared" ca="1" si="18"/>
        <v>7</v>
      </c>
      <c r="P38" s="41">
        <f t="shared" ca="1" si="18"/>
        <v>8</v>
      </c>
      <c r="Q38" s="41">
        <f t="shared" ca="1" si="18"/>
        <v>9</v>
      </c>
      <c r="R38" s="41">
        <f t="shared" ca="1" si="18"/>
        <v>9</v>
      </c>
      <c r="S38" s="41">
        <f t="shared" ca="1" si="18"/>
        <v>10</v>
      </c>
      <c r="T38" s="41">
        <f t="shared" ca="1" si="18"/>
        <v>12</v>
      </c>
      <c r="U38" s="41">
        <f t="shared" ca="1" si="18"/>
        <v>13</v>
      </c>
      <c r="V38" s="41">
        <f t="shared" ca="1" si="18"/>
        <v>15</v>
      </c>
      <c r="W38" s="41">
        <f t="shared" ca="1" si="18"/>
        <v>16</v>
      </c>
      <c r="X38" s="41">
        <f t="shared" ca="1" si="18"/>
        <v>17</v>
      </c>
      <c r="Y38" s="41">
        <f t="shared" ca="1" si="18"/>
        <v>19</v>
      </c>
      <c r="Z38" s="41">
        <f t="shared" ca="1" si="18"/>
        <v>19</v>
      </c>
      <c r="AA38" s="41">
        <f t="shared" ca="1" si="18"/>
        <v>21</v>
      </c>
      <c r="AB38" s="41">
        <f t="shared" ca="1" si="18"/>
        <v>22</v>
      </c>
      <c r="AC38" s="41">
        <f t="shared" ca="1" si="18"/>
        <v>24</v>
      </c>
      <c r="AD38" s="41">
        <f t="shared" ca="1" si="18"/>
        <v>26</v>
      </c>
      <c r="AE38" s="41">
        <f t="shared" ca="1" si="18"/>
        <v>27</v>
      </c>
      <c r="AF38" s="41">
        <f t="shared" ca="1" si="18"/>
        <v>29</v>
      </c>
      <c r="AG38" s="41">
        <f t="shared" ca="1" si="18"/>
        <v>30</v>
      </c>
      <c r="AH38" s="41">
        <f t="shared" ca="1" si="18"/>
        <v>33</v>
      </c>
      <c r="AI38" s="41">
        <f t="shared" ca="1" si="18"/>
        <v>34</v>
      </c>
      <c r="AJ38" s="41">
        <f t="shared" ca="1" si="18"/>
        <v>36</v>
      </c>
      <c r="AK38" s="41">
        <f t="shared" ca="1" si="18"/>
        <v>38</v>
      </c>
      <c r="AL38" s="41">
        <f t="shared" ca="1" si="18"/>
        <v>39</v>
      </c>
    </row>
    <row r="39" spans="1:38" hidden="1" outlineLevel="1" x14ac:dyDescent="0.25">
      <c r="A39" s="39" t="s">
        <v>325</v>
      </c>
      <c r="C39" s="40">
        <f>0*Assumptions!$B$41</f>
        <v>0</v>
      </c>
      <c r="D39" s="40">
        <f ca="1">C42*Assumptions!$B$41</f>
        <v>0</v>
      </c>
      <c r="E39" s="40">
        <f ca="1">D42*Assumptions!$B$41</f>
        <v>0</v>
      </c>
      <c r="F39" s="40">
        <f ca="1">E42*Assumptions!$B$41</f>
        <v>8.5306375551212899E-3</v>
      </c>
      <c r="G39" s="40">
        <f ca="1">F42*Assumptions!$B$41</f>
        <v>1.2795956332681935E-2</v>
      </c>
      <c r="H39" s="40">
        <f ca="1">G42*Assumptions!$B$41</f>
        <v>1.2795956332681935E-2</v>
      </c>
      <c r="I39" s="40">
        <f ca="1">H42*Assumptions!$B$41</f>
        <v>1.2795956332681935E-2</v>
      </c>
      <c r="J39" s="40">
        <f ca="1">I42*Assumptions!$B$41</f>
        <v>1.2795956332681935E-2</v>
      </c>
      <c r="K39" s="40">
        <f ca="1">J42*Assumptions!$B$41</f>
        <v>1.2795956332681935E-2</v>
      </c>
      <c r="L39" s="40">
        <f ca="1">K42*Assumptions!$B$41</f>
        <v>1.706127511024258E-2</v>
      </c>
      <c r="M39" s="40">
        <f ca="1">L42*Assumptions!$B$41</f>
        <v>1.706127511024258E-2</v>
      </c>
      <c r="N39" s="40">
        <f ca="1">M42*Assumptions!$B$41</f>
        <v>1.706127511024258E-2</v>
      </c>
      <c r="O39" s="40">
        <f ca="1">N42*Assumptions!$B$41</f>
        <v>2.1326593887803225E-2</v>
      </c>
      <c r="P39" s="40">
        <f ca="1">O42*Assumptions!$B$41</f>
        <v>2.1326593887803225E-2</v>
      </c>
      <c r="Q39" s="40">
        <f ca="1">P42*Assumptions!$B$41</f>
        <v>2.1326593887803225E-2</v>
      </c>
      <c r="R39" s="40">
        <f ca="1">Q42*Assumptions!$B$41</f>
        <v>2.1326593887803225E-2</v>
      </c>
      <c r="S39" s="40">
        <f ca="1">R42*Assumptions!$B$41</f>
        <v>2.559191266536387E-2</v>
      </c>
      <c r="T39" s="40">
        <f ca="1">S42*Assumptions!$B$41</f>
        <v>2.9857231442924514E-2</v>
      </c>
      <c r="U39" s="40">
        <f ca="1">T42*Assumptions!$B$41</f>
        <v>2.9857231442924514E-2</v>
      </c>
      <c r="V39" s="40">
        <f ca="1">U42*Assumptions!$B$41</f>
        <v>3.8387868998045804E-2</v>
      </c>
      <c r="W39" s="40">
        <f ca="1">V42*Assumptions!$B$41</f>
        <v>3.8387868998045804E-2</v>
      </c>
      <c r="X39" s="40">
        <f ca="1">W42*Assumptions!$B$41</f>
        <v>4.2653187775606449E-2</v>
      </c>
      <c r="Y39" s="40">
        <f ca="1">X42*Assumptions!$B$41</f>
        <v>4.6918506553167094E-2</v>
      </c>
      <c r="Z39" s="40">
        <f ca="1">Y42*Assumptions!$B$41</f>
        <v>5.1183825330727739E-2</v>
      </c>
      <c r="AA39" s="40">
        <f ca="1">Z42*Assumptions!$B$41</f>
        <v>5.1183825330727739E-2</v>
      </c>
      <c r="AB39" s="40">
        <f ca="1">AA42*Assumptions!$B$41</f>
        <v>5.1183825330727739E-2</v>
      </c>
      <c r="AC39" s="40">
        <f ca="1">AB42*Assumptions!$B$41</f>
        <v>5.5449144108288384E-2</v>
      </c>
      <c r="AD39" s="40">
        <f ca="1">AC42*Assumptions!$B$41</f>
        <v>6.3979781663409674E-2</v>
      </c>
      <c r="AE39" s="40">
        <f ca="1">AD42*Assumptions!$B$41</f>
        <v>6.8245100440970319E-2</v>
      </c>
      <c r="AF39" s="40">
        <f ca="1">AE42*Assumptions!$B$41</f>
        <v>7.2510419218530964E-2</v>
      </c>
      <c r="AG39" s="40">
        <f ca="1">AF42*Assumptions!$B$41</f>
        <v>7.6775737996091609E-2</v>
      </c>
      <c r="AH39" s="40">
        <f ca="1">AG42*Assumptions!$B$41</f>
        <v>8.1041056773652254E-2</v>
      </c>
      <c r="AI39" s="40">
        <f ca="1">AH42*Assumptions!$B$41</f>
        <v>8.5306375551212899E-2</v>
      </c>
      <c r="AJ39" s="40">
        <f ca="1">AI42*Assumptions!$B$41</f>
        <v>9.3837013106334188E-2</v>
      </c>
      <c r="AK39" s="40">
        <f ca="1">AJ42*Assumptions!$B$41</f>
        <v>9.8102331883894833E-2</v>
      </c>
      <c r="AL39" s="40">
        <f ca="1">AK42*Assumptions!$B$41</f>
        <v>0.10236765066145548</v>
      </c>
    </row>
    <row r="40" spans="1:38" hidden="1" outlineLevel="1" x14ac:dyDescent="0.25">
      <c r="A40" s="39" t="s">
        <v>326</v>
      </c>
      <c r="C40" s="40">
        <f>0+C39</f>
        <v>0</v>
      </c>
      <c r="D40" s="40">
        <f t="shared" ref="D40:AL40" ca="1" si="19">C40+D39</f>
        <v>0</v>
      </c>
      <c r="E40" s="40">
        <f t="shared" ca="1" si="19"/>
        <v>0</v>
      </c>
      <c r="F40" s="40">
        <f t="shared" ca="1" si="19"/>
        <v>8.5306375551212899E-3</v>
      </c>
      <c r="G40" s="40">
        <f t="shared" ca="1" si="19"/>
        <v>2.1326593887803225E-2</v>
      </c>
      <c r="H40" s="40">
        <f t="shared" ca="1" si="19"/>
        <v>3.4122550220485159E-2</v>
      </c>
      <c r="I40" s="40">
        <f t="shared" ca="1" si="19"/>
        <v>4.6918506553167094E-2</v>
      </c>
      <c r="J40" s="40">
        <f t="shared" ca="1" si="19"/>
        <v>5.9714462885849029E-2</v>
      </c>
      <c r="K40" s="40">
        <f t="shared" ca="1" si="19"/>
        <v>7.2510419218530964E-2</v>
      </c>
      <c r="L40" s="40">
        <f t="shared" ca="1" si="19"/>
        <v>8.9571694328773543E-2</v>
      </c>
      <c r="M40" s="40">
        <f t="shared" ca="1" si="19"/>
        <v>0.10663296943901612</v>
      </c>
      <c r="N40" s="40">
        <f t="shared" ca="1" si="19"/>
        <v>0.1236942445492587</v>
      </c>
      <c r="O40" s="40">
        <f t="shared" ca="1" si="19"/>
        <v>0.14502083843706193</v>
      </c>
      <c r="P40" s="40">
        <f t="shared" ca="1" si="19"/>
        <v>0.16634743232486515</v>
      </c>
      <c r="Q40" s="40">
        <f t="shared" ca="1" si="19"/>
        <v>0.18767402621266838</v>
      </c>
      <c r="R40" s="40">
        <f t="shared" ca="1" si="19"/>
        <v>0.2090006201004716</v>
      </c>
      <c r="S40" s="40">
        <f t="shared" ca="1" si="19"/>
        <v>0.23459253276583547</v>
      </c>
      <c r="T40" s="40">
        <f t="shared" ca="1" si="19"/>
        <v>0.26444976420875999</v>
      </c>
      <c r="U40" s="40">
        <f t="shared" ca="1" si="19"/>
        <v>0.2943069956516845</v>
      </c>
      <c r="V40" s="40">
        <f t="shared" ca="1" si="19"/>
        <v>0.3326948646497303</v>
      </c>
      <c r="W40" s="40">
        <f t="shared" ca="1" si="19"/>
        <v>0.37108273364777611</v>
      </c>
      <c r="X40" s="40">
        <f t="shared" ca="1" si="19"/>
        <v>0.41373592142338256</v>
      </c>
      <c r="Y40" s="40">
        <f t="shared" ca="1" si="19"/>
        <v>0.46065442797654965</v>
      </c>
      <c r="Z40" s="40">
        <f t="shared" ca="1" si="19"/>
        <v>0.51183825330727739</v>
      </c>
      <c r="AA40" s="40">
        <f t="shared" ca="1" si="19"/>
        <v>0.56302207863800513</v>
      </c>
      <c r="AB40" s="40">
        <f t="shared" ca="1" si="19"/>
        <v>0.61420590396873287</v>
      </c>
      <c r="AC40" s="40">
        <f t="shared" ca="1" si="19"/>
        <v>0.66965504807702125</v>
      </c>
      <c r="AD40" s="40">
        <f t="shared" ca="1" si="19"/>
        <v>0.73363482974043093</v>
      </c>
      <c r="AE40" s="40">
        <f t="shared" ca="1" si="19"/>
        <v>0.80187993018140125</v>
      </c>
      <c r="AF40" s="40">
        <f t="shared" ca="1" si="19"/>
        <v>0.87439034939993221</v>
      </c>
      <c r="AG40" s="40">
        <f t="shared" ca="1" si="19"/>
        <v>0.95116608739602382</v>
      </c>
      <c r="AH40" s="40">
        <f t="shared" ca="1" si="19"/>
        <v>1.0322071441696761</v>
      </c>
      <c r="AI40" s="40">
        <f t="shared" ca="1" si="19"/>
        <v>1.117513519720889</v>
      </c>
      <c r="AJ40" s="40">
        <f t="shared" ca="1" si="19"/>
        <v>1.2113505328272232</v>
      </c>
      <c r="AK40" s="40">
        <f t="shared" ca="1" si="19"/>
        <v>1.3094528647111181</v>
      </c>
      <c r="AL40" s="40">
        <f t="shared" ca="1" si="19"/>
        <v>1.4118205153725736</v>
      </c>
    </row>
    <row r="41" spans="1:38" x14ac:dyDescent="0.25">
      <c r="A41" s="2" t="s">
        <v>327</v>
      </c>
      <c r="C41" s="15">
        <f>ROUND(C40,0)-ROUND(0,0)</f>
        <v>0</v>
      </c>
      <c r="D41" s="15">
        <f t="shared" ref="D41:AL41" ca="1" si="20">ROUND(D40,0)-ROUND(C40,0)</f>
        <v>0</v>
      </c>
      <c r="E41" s="15">
        <f t="shared" ca="1" si="20"/>
        <v>0</v>
      </c>
      <c r="F41" s="15">
        <f t="shared" ca="1" si="20"/>
        <v>0</v>
      </c>
      <c r="G41" s="15">
        <f t="shared" ca="1" si="20"/>
        <v>0</v>
      </c>
      <c r="H41" s="15">
        <f t="shared" ca="1" si="20"/>
        <v>0</v>
      </c>
      <c r="I41" s="15">
        <f t="shared" ca="1" si="20"/>
        <v>0</v>
      </c>
      <c r="J41" s="15">
        <f t="shared" ca="1" si="20"/>
        <v>0</v>
      </c>
      <c r="K41" s="15">
        <f t="shared" ca="1" si="20"/>
        <v>0</v>
      </c>
      <c r="L41" s="15">
        <f t="shared" ca="1" si="20"/>
        <v>0</v>
      </c>
      <c r="M41" s="15">
        <f t="shared" ca="1" si="20"/>
        <v>0</v>
      </c>
      <c r="N41" s="15">
        <f t="shared" ca="1" si="20"/>
        <v>0</v>
      </c>
      <c r="O41" s="15">
        <f t="shared" ca="1" si="20"/>
        <v>0</v>
      </c>
      <c r="P41" s="15">
        <f t="shared" ca="1" si="20"/>
        <v>0</v>
      </c>
      <c r="Q41" s="15">
        <f t="shared" ca="1" si="20"/>
        <v>0</v>
      </c>
      <c r="R41" s="15">
        <f t="shared" ca="1" si="20"/>
        <v>0</v>
      </c>
      <c r="S41" s="15">
        <f t="shared" ca="1" si="20"/>
        <v>0</v>
      </c>
      <c r="T41" s="15">
        <f t="shared" ca="1" si="20"/>
        <v>0</v>
      </c>
      <c r="U41" s="15">
        <f t="shared" ca="1" si="20"/>
        <v>0</v>
      </c>
      <c r="V41" s="15">
        <f t="shared" ca="1" si="20"/>
        <v>0</v>
      </c>
      <c r="W41" s="15">
        <f t="shared" ca="1" si="20"/>
        <v>0</v>
      </c>
      <c r="X41" s="15">
        <f t="shared" ca="1" si="20"/>
        <v>0</v>
      </c>
      <c r="Y41" s="15">
        <f t="shared" ca="1" si="20"/>
        <v>0</v>
      </c>
      <c r="Z41" s="15">
        <f t="shared" ca="1" si="20"/>
        <v>1</v>
      </c>
      <c r="AA41" s="15">
        <f t="shared" ca="1" si="20"/>
        <v>0</v>
      </c>
      <c r="AB41" s="15">
        <f t="shared" ca="1" si="20"/>
        <v>0</v>
      </c>
      <c r="AC41" s="15">
        <f t="shared" ca="1" si="20"/>
        <v>0</v>
      </c>
      <c r="AD41" s="15">
        <f t="shared" ca="1" si="20"/>
        <v>0</v>
      </c>
      <c r="AE41" s="15">
        <f t="shared" ca="1" si="20"/>
        <v>0</v>
      </c>
      <c r="AF41" s="15">
        <f t="shared" ca="1" si="20"/>
        <v>0</v>
      </c>
      <c r="AG41" s="15">
        <f t="shared" ca="1" si="20"/>
        <v>0</v>
      </c>
      <c r="AH41" s="15">
        <f t="shared" ca="1" si="20"/>
        <v>0</v>
      </c>
      <c r="AI41" s="15">
        <f t="shared" ca="1" si="20"/>
        <v>0</v>
      </c>
      <c r="AJ41" s="15">
        <f t="shared" ca="1" si="20"/>
        <v>0</v>
      </c>
      <c r="AK41" s="15">
        <f t="shared" ca="1" si="20"/>
        <v>0</v>
      </c>
      <c r="AL41" s="15">
        <f t="shared" ca="1" si="20"/>
        <v>0</v>
      </c>
    </row>
    <row r="42" spans="1:38" x14ac:dyDescent="0.25">
      <c r="A42" s="3" t="s">
        <v>30</v>
      </c>
      <c r="C42" s="41">
        <f ca="1">0-C41+C32</f>
        <v>0</v>
      </c>
      <c r="D42" s="41">
        <f t="shared" ref="D42:AL42" ca="1" si="21">C42-D41+D32</f>
        <v>0</v>
      </c>
      <c r="E42" s="41">
        <f t="shared" ca="1" si="21"/>
        <v>2</v>
      </c>
      <c r="F42" s="41">
        <f t="shared" ca="1" si="21"/>
        <v>3</v>
      </c>
      <c r="G42" s="41">
        <f t="shared" ca="1" si="21"/>
        <v>3</v>
      </c>
      <c r="H42" s="41">
        <f t="shared" ca="1" si="21"/>
        <v>3</v>
      </c>
      <c r="I42" s="41">
        <f t="shared" ca="1" si="21"/>
        <v>3</v>
      </c>
      <c r="J42" s="41">
        <f t="shared" ca="1" si="21"/>
        <v>3</v>
      </c>
      <c r="K42" s="41">
        <f t="shared" ca="1" si="21"/>
        <v>4</v>
      </c>
      <c r="L42" s="41">
        <f t="shared" ca="1" si="21"/>
        <v>4</v>
      </c>
      <c r="M42" s="41">
        <f t="shared" ca="1" si="21"/>
        <v>4</v>
      </c>
      <c r="N42" s="41">
        <f t="shared" ca="1" si="21"/>
        <v>5</v>
      </c>
      <c r="O42" s="41">
        <f t="shared" ca="1" si="21"/>
        <v>5</v>
      </c>
      <c r="P42" s="41">
        <f t="shared" ca="1" si="21"/>
        <v>5</v>
      </c>
      <c r="Q42" s="41">
        <f t="shared" ca="1" si="21"/>
        <v>5</v>
      </c>
      <c r="R42" s="41">
        <f t="shared" ca="1" si="21"/>
        <v>6</v>
      </c>
      <c r="S42" s="41">
        <f t="shared" ca="1" si="21"/>
        <v>7</v>
      </c>
      <c r="T42" s="41">
        <f t="shared" ca="1" si="21"/>
        <v>7</v>
      </c>
      <c r="U42" s="41">
        <f t="shared" ca="1" si="21"/>
        <v>9</v>
      </c>
      <c r="V42" s="41">
        <f t="shared" ca="1" si="21"/>
        <v>9</v>
      </c>
      <c r="W42" s="41">
        <f t="shared" ca="1" si="21"/>
        <v>10</v>
      </c>
      <c r="X42" s="41">
        <f t="shared" ca="1" si="21"/>
        <v>11</v>
      </c>
      <c r="Y42" s="41">
        <f t="shared" ca="1" si="21"/>
        <v>12</v>
      </c>
      <c r="Z42" s="41">
        <f t="shared" ca="1" si="21"/>
        <v>12</v>
      </c>
      <c r="AA42" s="41">
        <f t="shared" ca="1" si="21"/>
        <v>12</v>
      </c>
      <c r="AB42" s="41">
        <f t="shared" ca="1" si="21"/>
        <v>13</v>
      </c>
      <c r="AC42" s="41">
        <f t="shared" ca="1" si="21"/>
        <v>15</v>
      </c>
      <c r="AD42" s="41">
        <f t="shared" ca="1" si="21"/>
        <v>16</v>
      </c>
      <c r="AE42" s="41">
        <f t="shared" ca="1" si="21"/>
        <v>17</v>
      </c>
      <c r="AF42" s="41">
        <f t="shared" ca="1" si="21"/>
        <v>18</v>
      </c>
      <c r="AG42" s="41">
        <f t="shared" ca="1" si="21"/>
        <v>19</v>
      </c>
      <c r="AH42" s="41">
        <f t="shared" ca="1" si="21"/>
        <v>20</v>
      </c>
      <c r="AI42" s="41">
        <f t="shared" ca="1" si="21"/>
        <v>22</v>
      </c>
      <c r="AJ42" s="41">
        <f t="shared" ca="1" si="21"/>
        <v>23</v>
      </c>
      <c r="AK42" s="41">
        <f t="shared" ca="1" si="21"/>
        <v>24</v>
      </c>
      <c r="AL42" s="41">
        <f t="shared" ca="1" si="21"/>
        <v>25</v>
      </c>
    </row>
    <row r="43" spans="1:38" x14ac:dyDescent="0.25">
      <c r="A43" s="2" t="s">
        <v>328</v>
      </c>
      <c r="C43" s="38">
        <f>IF(C6&gt;=Assumptions!$B$33+Assumptions!$B$115,1,0)</f>
        <v>0</v>
      </c>
      <c r="D43" s="38">
        <f>IF(D6&gt;=Assumptions!$B$33+Assumptions!$B$115,1,0)</f>
        <v>0</v>
      </c>
      <c r="E43" s="38">
        <f>IF(E6&gt;=Assumptions!$B$33+Assumptions!$B$115,1,0)</f>
        <v>0</v>
      </c>
      <c r="F43" s="38">
        <f>IF(F6&gt;=Assumptions!$B$33+Assumptions!$B$115,1,0)</f>
        <v>0</v>
      </c>
      <c r="G43" s="38">
        <f>IF(G6&gt;=Assumptions!$B$33+Assumptions!$B$115,1,0)</f>
        <v>0</v>
      </c>
      <c r="H43" s="38">
        <f>IF(H6&gt;=Assumptions!$B$33+Assumptions!$B$115,1,0)</f>
        <v>0</v>
      </c>
      <c r="I43" s="38">
        <f>IF(I6&gt;=Assumptions!$B$33+Assumptions!$B$115,1,0)</f>
        <v>0</v>
      </c>
      <c r="J43" s="38">
        <f>IF(J6&gt;=Assumptions!$B$33+Assumptions!$B$115,1,0)</f>
        <v>0</v>
      </c>
      <c r="K43" s="38">
        <f>IF(K6&gt;=Assumptions!$B$33+Assumptions!$B$115,1,0)</f>
        <v>0</v>
      </c>
      <c r="L43" s="38">
        <f>IF(L6&gt;=Assumptions!$B$33+Assumptions!$B$115,1,0)</f>
        <v>0</v>
      </c>
      <c r="M43" s="38">
        <f>IF(M6&gt;=Assumptions!$B$33+Assumptions!$B$115,1,0)</f>
        <v>0</v>
      </c>
      <c r="N43" s="38">
        <f>IF(N6&gt;=Assumptions!$B$33+Assumptions!$B$115,1,0)</f>
        <v>0</v>
      </c>
      <c r="O43" s="38">
        <f>IF(O6&gt;=Assumptions!$B$33+Assumptions!$B$115,1,0)</f>
        <v>0</v>
      </c>
      <c r="P43" s="38">
        <f>IF(P6&gt;=Assumptions!$B$33+Assumptions!$B$115,1,0)</f>
        <v>0</v>
      </c>
      <c r="Q43" s="38">
        <f>IF(Q6&gt;=Assumptions!$B$33+Assumptions!$B$115,1,0)</f>
        <v>0</v>
      </c>
      <c r="R43" s="38">
        <f>IF(R6&gt;=Assumptions!$B$33+Assumptions!$B$115,1,0)</f>
        <v>0</v>
      </c>
      <c r="S43" s="38">
        <f>IF(S6&gt;=Assumptions!$B$33+Assumptions!$B$115,1,0)</f>
        <v>0</v>
      </c>
      <c r="T43" s="38">
        <f>IF(T6&gt;=Assumptions!$B$33+Assumptions!$B$115,1,0)</f>
        <v>1</v>
      </c>
      <c r="U43" s="38">
        <f>IF(U6&gt;=Assumptions!$B$33+Assumptions!$B$115,1,0)</f>
        <v>1</v>
      </c>
      <c r="V43" s="38">
        <f>IF(V6&gt;=Assumptions!$B$33+Assumptions!$B$115,1,0)</f>
        <v>1</v>
      </c>
      <c r="W43" s="38">
        <f>IF(W6&gt;=Assumptions!$B$33+Assumptions!$B$115,1,0)</f>
        <v>1</v>
      </c>
      <c r="X43" s="38">
        <f>IF(X6&gt;=Assumptions!$B$33+Assumptions!$B$115,1,0)</f>
        <v>1</v>
      </c>
      <c r="Y43" s="38">
        <f>IF(Y6&gt;=Assumptions!$B$33+Assumptions!$B$115,1,0)</f>
        <v>1</v>
      </c>
      <c r="Z43" s="38">
        <f>IF(Z6&gt;=Assumptions!$B$33+Assumptions!$B$115,1,0)</f>
        <v>1</v>
      </c>
      <c r="AA43" s="38">
        <f>IF(AA6&gt;=Assumptions!$B$33+Assumptions!$B$115,1,0)</f>
        <v>1</v>
      </c>
      <c r="AB43" s="38">
        <f>IF(AB6&gt;=Assumptions!$B$33+Assumptions!$B$115,1,0)</f>
        <v>1</v>
      </c>
      <c r="AC43" s="38">
        <f>IF(AC6&gt;=Assumptions!$B$33+Assumptions!$B$115,1,0)</f>
        <v>1</v>
      </c>
      <c r="AD43" s="38">
        <f>IF(AD6&gt;=Assumptions!$B$33+Assumptions!$B$115,1,0)</f>
        <v>1</v>
      </c>
      <c r="AE43" s="38">
        <f>IF(AE6&gt;=Assumptions!$B$33+Assumptions!$B$115,1,0)</f>
        <v>1</v>
      </c>
      <c r="AF43" s="38">
        <f>IF(AF6&gt;=Assumptions!$B$33+Assumptions!$B$115,1,0)</f>
        <v>1</v>
      </c>
      <c r="AG43" s="38">
        <f>IF(AG6&gt;=Assumptions!$B$33+Assumptions!$B$115,1,0)</f>
        <v>1</v>
      </c>
      <c r="AH43" s="38">
        <f>IF(AH6&gt;=Assumptions!$B$33+Assumptions!$B$115,1,0)</f>
        <v>1</v>
      </c>
      <c r="AI43" s="38">
        <f>IF(AI6&gt;=Assumptions!$B$33+Assumptions!$B$115,1,0)</f>
        <v>1</v>
      </c>
      <c r="AJ43" s="38">
        <f>IF(AJ6&gt;=Assumptions!$B$33+Assumptions!$B$115,1,0)</f>
        <v>1</v>
      </c>
      <c r="AK43" s="38">
        <f>IF(AK6&gt;=Assumptions!$B$33+Assumptions!$B$115,1,0)</f>
        <v>1</v>
      </c>
      <c r="AL43" s="38">
        <f>IF(AL6&gt;=Assumptions!$B$33+Assumptions!$B$115,1,0)</f>
        <v>1</v>
      </c>
    </row>
    <row r="44" spans="1:38" x14ac:dyDescent="0.25">
      <c r="A44" s="2" t="s">
        <v>329</v>
      </c>
      <c r="C44" s="38">
        <f>IF(C6&gt;=Assumptions!$B$35+Assumptions!$B$115,1,0)</f>
        <v>0</v>
      </c>
      <c r="D44" s="38">
        <f>IF(D6&gt;=Assumptions!$B$35+Assumptions!$B$115,1,0)</f>
        <v>0</v>
      </c>
      <c r="E44" s="38">
        <f>IF(E6&gt;=Assumptions!$B$35+Assumptions!$B$115,1,0)</f>
        <v>0</v>
      </c>
      <c r="F44" s="38">
        <f>IF(F6&gt;=Assumptions!$B$35+Assumptions!$B$115,1,0)</f>
        <v>0</v>
      </c>
      <c r="G44" s="38">
        <f>IF(G6&gt;=Assumptions!$B$35+Assumptions!$B$115,1,0)</f>
        <v>0</v>
      </c>
      <c r="H44" s="38">
        <f>IF(H6&gt;=Assumptions!$B$35+Assumptions!$B$115,1,0)</f>
        <v>0</v>
      </c>
      <c r="I44" s="38">
        <f>IF(I6&gt;=Assumptions!$B$35+Assumptions!$B$115,1,0)</f>
        <v>0</v>
      </c>
      <c r="J44" s="38">
        <f>IF(J6&gt;=Assumptions!$B$35+Assumptions!$B$115,1,0)</f>
        <v>0</v>
      </c>
      <c r="K44" s="38">
        <f>IF(K6&gt;=Assumptions!$B$35+Assumptions!$B$115,1,0)</f>
        <v>0</v>
      </c>
      <c r="L44" s="38">
        <f>IF(L6&gt;=Assumptions!$B$35+Assumptions!$B$115,1,0)</f>
        <v>0</v>
      </c>
      <c r="M44" s="38">
        <f>IF(M6&gt;=Assumptions!$B$35+Assumptions!$B$115,1,0)</f>
        <v>0</v>
      </c>
      <c r="N44" s="38">
        <f>IF(N6&gt;=Assumptions!$B$35+Assumptions!$B$115,1,0)</f>
        <v>0</v>
      </c>
      <c r="O44" s="38">
        <f>IF(O6&gt;=Assumptions!$B$35+Assumptions!$B$115,1,0)</f>
        <v>0</v>
      </c>
      <c r="P44" s="38">
        <f>IF(P6&gt;=Assumptions!$B$35+Assumptions!$B$115,1,0)</f>
        <v>0</v>
      </c>
      <c r="Q44" s="38">
        <f>IF(Q6&gt;=Assumptions!$B$35+Assumptions!$B$115,1,0)</f>
        <v>0</v>
      </c>
      <c r="R44" s="38">
        <f>IF(R6&gt;=Assumptions!$B$35+Assumptions!$B$115,1,0)</f>
        <v>0</v>
      </c>
      <c r="S44" s="38">
        <f>IF(S6&gt;=Assumptions!$B$35+Assumptions!$B$115,1,0)</f>
        <v>0</v>
      </c>
      <c r="T44" s="38">
        <f>IF(T6&gt;=Assumptions!$B$35+Assumptions!$B$115,1,0)</f>
        <v>0</v>
      </c>
      <c r="U44" s="38">
        <f>IF(U6&gt;=Assumptions!$B$35+Assumptions!$B$115,1,0)</f>
        <v>0</v>
      </c>
      <c r="V44" s="38">
        <f>IF(V6&gt;=Assumptions!$B$35+Assumptions!$B$115,1,0)</f>
        <v>0</v>
      </c>
      <c r="W44" s="38">
        <f>IF(W6&gt;=Assumptions!$B$35+Assumptions!$B$115,1,0)</f>
        <v>0</v>
      </c>
      <c r="X44" s="38">
        <f>IF(X6&gt;=Assumptions!$B$35+Assumptions!$B$115,1,0)</f>
        <v>0</v>
      </c>
      <c r="Y44" s="38">
        <f>IF(Y6&gt;=Assumptions!$B$35+Assumptions!$B$115,1,0)</f>
        <v>0</v>
      </c>
      <c r="Z44" s="38">
        <f>IF(Z6&gt;=Assumptions!$B$35+Assumptions!$B$115,1,0)</f>
        <v>0</v>
      </c>
      <c r="AA44" s="38">
        <f>IF(AA6&gt;=Assumptions!$B$35+Assumptions!$B$115,1,0)</f>
        <v>0</v>
      </c>
      <c r="AB44" s="38">
        <f>IF(AB6&gt;=Assumptions!$B$35+Assumptions!$B$115,1,0)</f>
        <v>0</v>
      </c>
      <c r="AC44" s="38">
        <f>IF(AC6&gt;=Assumptions!$B$35+Assumptions!$B$115,1,0)</f>
        <v>0</v>
      </c>
      <c r="AD44" s="38">
        <f>IF(AD6&gt;=Assumptions!$B$35+Assumptions!$B$115,1,0)</f>
        <v>0</v>
      </c>
      <c r="AE44" s="38">
        <f>IF(AE6&gt;=Assumptions!$B$35+Assumptions!$B$115,1,0)</f>
        <v>0</v>
      </c>
      <c r="AF44" s="38">
        <f>IF(AF6&gt;=Assumptions!$B$35+Assumptions!$B$115,1,0)</f>
        <v>1</v>
      </c>
      <c r="AG44" s="38">
        <f>IF(AG6&gt;=Assumptions!$B$35+Assumptions!$B$115,1,0)</f>
        <v>1</v>
      </c>
      <c r="AH44" s="38">
        <f>IF(AH6&gt;=Assumptions!$B$35+Assumptions!$B$115,1,0)</f>
        <v>1</v>
      </c>
      <c r="AI44" s="38">
        <f>IF(AI6&gt;=Assumptions!$B$35+Assumptions!$B$115,1,0)</f>
        <v>1</v>
      </c>
      <c r="AJ44" s="38">
        <f>IF(AJ6&gt;=Assumptions!$B$35+Assumptions!$B$115,1,0)</f>
        <v>1</v>
      </c>
      <c r="AK44" s="38">
        <f>IF(AK6&gt;=Assumptions!$B$35+Assumptions!$B$115,1,0)</f>
        <v>1</v>
      </c>
      <c r="AL44" s="38">
        <f>IF(AL6&gt;=Assumptions!$B$35+Assumptions!$B$115,1,0)</f>
        <v>1</v>
      </c>
    </row>
    <row r="45" spans="1:38" x14ac:dyDescent="0.25">
      <c r="A45" s="2" t="s">
        <v>330</v>
      </c>
      <c r="C45" s="38">
        <f>C43-0</f>
        <v>0</v>
      </c>
      <c r="D45" s="38">
        <f t="shared" ref="D45:AL45" si="22">D43-C43</f>
        <v>0</v>
      </c>
      <c r="E45" s="38">
        <f t="shared" si="22"/>
        <v>0</v>
      </c>
      <c r="F45" s="38">
        <f t="shared" si="22"/>
        <v>0</v>
      </c>
      <c r="G45" s="38">
        <f t="shared" si="22"/>
        <v>0</v>
      </c>
      <c r="H45" s="38">
        <f t="shared" si="22"/>
        <v>0</v>
      </c>
      <c r="I45" s="38">
        <f t="shared" si="22"/>
        <v>0</v>
      </c>
      <c r="J45" s="38">
        <f t="shared" si="22"/>
        <v>0</v>
      </c>
      <c r="K45" s="38">
        <f t="shared" si="22"/>
        <v>0</v>
      </c>
      <c r="L45" s="38">
        <f t="shared" si="22"/>
        <v>0</v>
      </c>
      <c r="M45" s="38">
        <f t="shared" si="22"/>
        <v>0</v>
      </c>
      <c r="N45" s="38">
        <f t="shared" si="22"/>
        <v>0</v>
      </c>
      <c r="O45" s="38">
        <f t="shared" si="22"/>
        <v>0</v>
      </c>
      <c r="P45" s="38">
        <f t="shared" si="22"/>
        <v>0</v>
      </c>
      <c r="Q45" s="38">
        <f t="shared" si="22"/>
        <v>0</v>
      </c>
      <c r="R45" s="38">
        <f t="shared" si="22"/>
        <v>0</v>
      </c>
      <c r="S45" s="38">
        <f t="shared" si="22"/>
        <v>0</v>
      </c>
      <c r="T45" s="38">
        <f t="shared" si="22"/>
        <v>1</v>
      </c>
      <c r="U45" s="38">
        <f t="shared" si="22"/>
        <v>0</v>
      </c>
      <c r="V45" s="38">
        <f t="shared" si="22"/>
        <v>0</v>
      </c>
      <c r="W45" s="38">
        <f t="shared" si="22"/>
        <v>0</v>
      </c>
      <c r="X45" s="38">
        <f t="shared" si="22"/>
        <v>0</v>
      </c>
      <c r="Y45" s="38">
        <f t="shared" si="22"/>
        <v>0</v>
      </c>
      <c r="Z45" s="38">
        <f t="shared" si="22"/>
        <v>0</v>
      </c>
      <c r="AA45" s="38">
        <f t="shared" si="22"/>
        <v>0</v>
      </c>
      <c r="AB45" s="38">
        <f t="shared" si="22"/>
        <v>0</v>
      </c>
      <c r="AC45" s="38">
        <f t="shared" si="22"/>
        <v>0</v>
      </c>
      <c r="AD45" s="38">
        <f t="shared" si="22"/>
        <v>0</v>
      </c>
      <c r="AE45" s="38">
        <f t="shared" si="22"/>
        <v>0</v>
      </c>
      <c r="AF45" s="38">
        <f t="shared" si="22"/>
        <v>0</v>
      </c>
      <c r="AG45" s="38">
        <f t="shared" si="22"/>
        <v>0</v>
      </c>
      <c r="AH45" s="38">
        <f t="shared" si="22"/>
        <v>0</v>
      </c>
      <c r="AI45" s="38">
        <f t="shared" si="22"/>
        <v>0</v>
      </c>
      <c r="AJ45" s="38">
        <f t="shared" si="22"/>
        <v>0</v>
      </c>
      <c r="AK45" s="38">
        <f t="shared" si="22"/>
        <v>0</v>
      </c>
      <c r="AL45" s="38">
        <f t="shared" si="22"/>
        <v>0</v>
      </c>
    </row>
    <row r="46" spans="1:38" x14ac:dyDescent="0.25">
      <c r="A46" s="2" t="s">
        <v>331</v>
      </c>
      <c r="C46" s="38">
        <f>C44-0</f>
        <v>0</v>
      </c>
      <c r="D46" s="38">
        <f t="shared" ref="D46:AL46" si="23">D44-C44</f>
        <v>0</v>
      </c>
      <c r="E46" s="38">
        <f t="shared" si="23"/>
        <v>0</v>
      </c>
      <c r="F46" s="38">
        <f t="shared" si="23"/>
        <v>0</v>
      </c>
      <c r="G46" s="38">
        <f t="shared" si="23"/>
        <v>0</v>
      </c>
      <c r="H46" s="38">
        <f t="shared" si="23"/>
        <v>0</v>
      </c>
      <c r="I46" s="38">
        <f t="shared" si="23"/>
        <v>0</v>
      </c>
      <c r="J46" s="38">
        <f t="shared" si="23"/>
        <v>0</v>
      </c>
      <c r="K46" s="38">
        <f t="shared" si="23"/>
        <v>0</v>
      </c>
      <c r="L46" s="38">
        <f t="shared" si="23"/>
        <v>0</v>
      </c>
      <c r="M46" s="38">
        <f t="shared" si="23"/>
        <v>0</v>
      </c>
      <c r="N46" s="38">
        <f t="shared" si="23"/>
        <v>0</v>
      </c>
      <c r="O46" s="38">
        <f t="shared" si="23"/>
        <v>0</v>
      </c>
      <c r="P46" s="38">
        <f t="shared" si="23"/>
        <v>0</v>
      </c>
      <c r="Q46" s="38">
        <f t="shared" si="23"/>
        <v>0</v>
      </c>
      <c r="R46" s="38">
        <f t="shared" si="23"/>
        <v>0</v>
      </c>
      <c r="S46" s="38">
        <f t="shared" si="23"/>
        <v>0</v>
      </c>
      <c r="T46" s="38">
        <f t="shared" si="23"/>
        <v>0</v>
      </c>
      <c r="U46" s="38">
        <f t="shared" si="23"/>
        <v>0</v>
      </c>
      <c r="V46" s="38">
        <f t="shared" si="23"/>
        <v>0</v>
      </c>
      <c r="W46" s="38">
        <f t="shared" si="23"/>
        <v>0</v>
      </c>
      <c r="X46" s="38">
        <f t="shared" si="23"/>
        <v>0</v>
      </c>
      <c r="Y46" s="38">
        <f t="shared" si="23"/>
        <v>0</v>
      </c>
      <c r="Z46" s="38">
        <f t="shared" si="23"/>
        <v>0</v>
      </c>
      <c r="AA46" s="38">
        <f t="shared" si="23"/>
        <v>0</v>
      </c>
      <c r="AB46" s="38">
        <f t="shared" si="23"/>
        <v>0</v>
      </c>
      <c r="AC46" s="38">
        <f t="shared" si="23"/>
        <v>0</v>
      </c>
      <c r="AD46" s="38">
        <f t="shared" si="23"/>
        <v>0</v>
      </c>
      <c r="AE46" s="38">
        <f t="shared" si="23"/>
        <v>0</v>
      </c>
      <c r="AF46" s="38">
        <f t="shared" si="23"/>
        <v>1</v>
      </c>
      <c r="AG46" s="38">
        <f t="shared" si="23"/>
        <v>0</v>
      </c>
      <c r="AH46" s="38">
        <f t="shared" si="23"/>
        <v>0</v>
      </c>
      <c r="AI46" s="38">
        <f t="shared" si="23"/>
        <v>0</v>
      </c>
      <c r="AJ46" s="38">
        <f t="shared" si="23"/>
        <v>0</v>
      </c>
      <c r="AK46" s="38">
        <f t="shared" si="23"/>
        <v>0</v>
      </c>
      <c r="AL46" s="38">
        <f t="shared" si="23"/>
        <v>0</v>
      </c>
    </row>
    <row r="47" spans="1:38" x14ac:dyDescent="0.25">
      <c r="A47" s="3" t="s">
        <v>32</v>
      </c>
      <c r="C47" s="41">
        <f t="shared" ref="C47:AL47" ca="1" si="24">C38+C42+C43+C44</f>
        <v>0</v>
      </c>
      <c r="D47" s="41">
        <f t="shared" ca="1" si="24"/>
        <v>1</v>
      </c>
      <c r="E47" s="41">
        <f t="shared" ca="1" si="24"/>
        <v>4</v>
      </c>
      <c r="F47" s="41">
        <f t="shared" ca="1" si="24"/>
        <v>5</v>
      </c>
      <c r="G47" s="41">
        <f t="shared" ca="1" si="24"/>
        <v>6</v>
      </c>
      <c r="H47" s="41">
        <f t="shared" ca="1" si="24"/>
        <v>6</v>
      </c>
      <c r="I47" s="41">
        <f t="shared" ca="1" si="24"/>
        <v>7</v>
      </c>
      <c r="J47" s="41">
        <f t="shared" ca="1" si="24"/>
        <v>8</v>
      </c>
      <c r="K47" s="41">
        <f t="shared" ca="1" si="24"/>
        <v>9</v>
      </c>
      <c r="L47" s="41">
        <f t="shared" ca="1" si="24"/>
        <v>9</v>
      </c>
      <c r="M47" s="41">
        <f t="shared" ca="1" si="24"/>
        <v>9</v>
      </c>
      <c r="N47" s="41">
        <f t="shared" ca="1" si="24"/>
        <v>11</v>
      </c>
      <c r="O47" s="41">
        <f t="shared" ca="1" si="24"/>
        <v>12</v>
      </c>
      <c r="P47" s="41">
        <f t="shared" ca="1" si="24"/>
        <v>13</v>
      </c>
      <c r="Q47" s="41">
        <f t="shared" ca="1" si="24"/>
        <v>14</v>
      </c>
      <c r="R47" s="41">
        <f t="shared" ca="1" si="24"/>
        <v>15</v>
      </c>
      <c r="S47" s="41">
        <f t="shared" ca="1" si="24"/>
        <v>17</v>
      </c>
      <c r="T47" s="41">
        <f t="shared" ca="1" si="24"/>
        <v>20</v>
      </c>
      <c r="U47" s="41">
        <f t="shared" ca="1" si="24"/>
        <v>23</v>
      </c>
      <c r="V47" s="41">
        <f t="shared" ca="1" si="24"/>
        <v>25</v>
      </c>
      <c r="W47" s="41">
        <f t="shared" ca="1" si="24"/>
        <v>27</v>
      </c>
      <c r="X47" s="41">
        <f t="shared" ca="1" si="24"/>
        <v>29</v>
      </c>
      <c r="Y47" s="41">
        <f t="shared" ca="1" si="24"/>
        <v>32</v>
      </c>
      <c r="Z47" s="41">
        <f t="shared" ca="1" si="24"/>
        <v>32</v>
      </c>
      <c r="AA47" s="41">
        <f t="shared" ca="1" si="24"/>
        <v>34</v>
      </c>
      <c r="AB47" s="41">
        <f t="shared" ca="1" si="24"/>
        <v>36</v>
      </c>
      <c r="AC47" s="41">
        <f t="shared" ca="1" si="24"/>
        <v>40</v>
      </c>
      <c r="AD47" s="41">
        <f t="shared" ca="1" si="24"/>
        <v>43</v>
      </c>
      <c r="AE47" s="41">
        <f t="shared" ca="1" si="24"/>
        <v>45</v>
      </c>
      <c r="AF47" s="41">
        <f t="shared" ca="1" si="24"/>
        <v>49</v>
      </c>
      <c r="AG47" s="41">
        <f t="shared" ca="1" si="24"/>
        <v>51</v>
      </c>
      <c r="AH47" s="41">
        <f t="shared" ca="1" si="24"/>
        <v>55</v>
      </c>
      <c r="AI47" s="41">
        <f t="shared" ca="1" si="24"/>
        <v>58</v>
      </c>
      <c r="AJ47" s="41">
        <f t="shared" ca="1" si="24"/>
        <v>61</v>
      </c>
      <c r="AK47" s="41">
        <f t="shared" ca="1" si="24"/>
        <v>64</v>
      </c>
      <c r="AL47" s="41">
        <f t="shared" ca="1" si="24"/>
        <v>66</v>
      </c>
    </row>
    <row r="49" spans="1:38" x14ac:dyDescent="0.25">
      <c r="A49" s="5" t="s">
        <v>33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</row>
    <row r="50" spans="1:38" x14ac:dyDescent="0.25">
      <c r="A50" s="2" t="s">
        <v>332</v>
      </c>
      <c r="C50" s="12">
        <f>C15*Assumptions!$B$28+IF(C6=1,Assumptions!$B$25*Assumptions!$B$28,0)</f>
        <v>50000</v>
      </c>
      <c r="D50" s="12">
        <f>D15*Assumptions!$B$28+IF(D6=1,Assumptions!$B$25*Assumptions!$B$28,0)</f>
        <v>10000</v>
      </c>
      <c r="E50" s="12">
        <f>E15*Assumptions!$B$28+IF(E6=1,Assumptions!$B$25*Assumptions!$B$28,0)</f>
        <v>0</v>
      </c>
      <c r="F50" s="12">
        <f>F15*Assumptions!$B$28+IF(F6=1,Assumptions!$B$25*Assumptions!$B$28,0)</f>
        <v>10000</v>
      </c>
      <c r="G50" s="12">
        <f>G15*Assumptions!$B$28+IF(G6=1,Assumptions!$B$25*Assumptions!$B$28,0)</f>
        <v>10000</v>
      </c>
      <c r="H50" s="12">
        <f>H15*Assumptions!$B$28+IF(H6=1,Assumptions!$B$25*Assumptions!$B$28,0)</f>
        <v>10000</v>
      </c>
      <c r="I50" s="12">
        <f>I15*Assumptions!$B$28+IF(I6=1,Assumptions!$B$25*Assumptions!$B$28,0)</f>
        <v>0</v>
      </c>
      <c r="J50" s="12">
        <f>J15*Assumptions!$B$28+IF(J6=1,Assumptions!$B$25*Assumptions!$B$28,0)</f>
        <v>10000</v>
      </c>
      <c r="K50" s="12">
        <f>K15*Assumptions!$B$28+IF(K6=1,Assumptions!$B$25*Assumptions!$B$28,0)</f>
        <v>10000</v>
      </c>
      <c r="L50" s="12">
        <f>L15*Assumptions!$B$28+IF(L6=1,Assumptions!$B$25*Assumptions!$B$28,0)</f>
        <v>10000</v>
      </c>
      <c r="M50" s="12">
        <f>M15*Assumptions!$B$28+IF(M6=1,Assumptions!$B$25*Assumptions!$B$28,0)</f>
        <v>0</v>
      </c>
      <c r="N50" s="12">
        <f>N15*Assumptions!$B$28+IF(N6=1,Assumptions!$B$25*Assumptions!$B$28,0)</f>
        <v>10000</v>
      </c>
      <c r="O50" s="12">
        <f>O15*Assumptions!$B$28+IF(O6=1,Assumptions!$B$25*Assumptions!$B$28,0)</f>
        <v>20000</v>
      </c>
      <c r="P50" s="12">
        <f>P15*Assumptions!$B$28+IF(P6=1,Assumptions!$B$25*Assumptions!$B$28,0)</f>
        <v>20000</v>
      </c>
      <c r="Q50" s="12">
        <f>Q15*Assumptions!$B$28+IF(Q6=1,Assumptions!$B$25*Assumptions!$B$28,0)</f>
        <v>30000</v>
      </c>
      <c r="R50" s="12">
        <f>R15*Assumptions!$B$28+IF(R6=1,Assumptions!$B$25*Assumptions!$B$28,0)</f>
        <v>20000</v>
      </c>
      <c r="S50" s="12">
        <f>S15*Assumptions!$B$28+IF(S6=1,Assumptions!$B$25*Assumptions!$B$28,0)</f>
        <v>20000</v>
      </c>
      <c r="T50" s="12">
        <f>T15*Assumptions!$B$28+IF(T6=1,Assumptions!$B$25*Assumptions!$B$28,0)</f>
        <v>20000</v>
      </c>
      <c r="U50" s="12">
        <f>U15*Assumptions!$B$28+IF(U6=1,Assumptions!$B$25*Assumptions!$B$28,0)</f>
        <v>20000</v>
      </c>
      <c r="V50" s="12">
        <f>V15*Assumptions!$B$28+IF(V6=1,Assumptions!$B$25*Assumptions!$B$28,0)</f>
        <v>30000</v>
      </c>
      <c r="W50" s="12">
        <f>W15*Assumptions!$B$28+IF(W6=1,Assumptions!$B$25*Assumptions!$B$28,0)</f>
        <v>20000</v>
      </c>
      <c r="X50" s="12">
        <f>X15*Assumptions!$B$28+IF(X6=1,Assumptions!$B$25*Assumptions!$B$28,0)</f>
        <v>20000</v>
      </c>
      <c r="Y50" s="12">
        <f>Y15*Assumptions!$B$28+IF(Y6=1,Assumptions!$B$25*Assumptions!$B$28,0)</f>
        <v>20000</v>
      </c>
      <c r="Z50" s="12">
        <f>Z15*Assumptions!$B$28+IF(Z6=1,Assumptions!$B$25*Assumptions!$B$28,0)</f>
        <v>20000</v>
      </c>
      <c r="AA50" s="12">
        <f>AA15*Assumptions!$B$28+IF(AA6=1,Assumptions!$B$25*Assumptions!$B$28,0)</f>
        <v>40000</v>
      </c>
      <c r="AB50" s="12">
        <f>AB15*Assumptions!$B$28+IF(AB6=1,Assumptions!$B$25*Assumptions!$B$28,0)</f>
        <v>30000</v>
      </c>
      <c r="AC50" s="12">
        <f>AC15*Assumptions!$B$28+IF(AC6=1,Assumptions!$B$25*Assumptions!$B$28,0)</f>
        <v>30000</v>
      </c>
      <c r="AD50" s="12">
        <f>AD15*Assumptions!$B$28+IF(AD6=1,Assumptions!$B$25*Assumptions!$B$28,0)</f>
        <v>30000</v>
      </c>
      <c r="AE50" s="12">
        <f>AE15*Assumptions!$B$28+IF(AE6=1,Assumptions!$B$25*Assumptions!$B$28,0)</f>
        <v>40000</v>
      </c>
      <c r="AF50" s="12">
        <f>AF15*Assumptions!$B$28+IF(AF6=1,Assumptions!$B$25*Assumptions!$B$28,0)</f>
        <v>30000</v>
      </c>
      <c r="AG50" s="12">
        <f>AG15*Assumptions!$B$28+IF(AG6=1,Assumptions!$B$25*Assumptions!$B$28,0)</f>
        <v>30000</v>
      </c>
      <c r="AH50" s="12">
        <f>AH15*Assumptions!$B$28+IF(AH6=1,Assumptions!$B$25*Assumptions!$B$28,0)</f>
        <v>40000</v>
      </c>
      <c r="AI50" s="12">
        <f>AI15*Assumptions!$B$28+IF(AI6=1,Assumptions!$B$25*Assumptions!$B$28,0)</f>
        <v>30000</v>
      </c>
      <c r="AJ50" s="12">
        <f>AJ15*Assumptions!$B$28+IF(AJ6=1,Assumptions!$B$25*Assumptions!$B$28,0)</f>
        <v>30000</v>
      </c>
      <c r="AK50" s="12">
        <f>AK15*Assumptions!$B$28+IF(AK6=1,Assumptions!$B$25*Assumptions!$B$28,0)</f>
        <v>40000</v>
      </c>
      <c r="AL50" s="12">
        <f>AL15*Assumptions!$B$28+IF(AL6=1,Assumptions!$B$25*Assumptions!$B$28,0)</f>
        <v>30000</v>
      </c>
    </row>
    <row r="51" spans="1:38" x14ac:dyDescent="0.25">
      <c r="A51" s="2" t="s">
        <v>333</v>
      </c>
      <c r="C51" s="12">
        <f ca="1">-Assumptions!$B$28*Assumptions!$B$29*IF(AND(C6=Assumptions!$B$17,Assumptions!$B$24&gt;0),ROUND(C19*Assumptions!$B$25/Assumptions!$B$24,0),C19)</f>
        <v>0</v>
      </c>
      <c r="D51" s="12">
        <f ca="1">-Assumptions!$B$28*Assumptions!$B$29*IF(AND(D6=Assumptions!$B$17,Assumptions!$B$24&gt;0),ROUND(D19*Assumptions!$B$25/Assumptions!$B$24,0),D19)</f>
        <v>0</v>
      </c>
      <c r="E51" s="12">
        <f ca="1">-Assumptions!$B$28*Assumptions!$B$29*IF(AND(E6=Assumptions!$B$17,Assumptions!$B$24&gt;0),ROUND(E19*Assumptions!$B$25/Assumptions!$B$24,0),E19)</f>
        <v>-20000</v>
      </c>
      <c r="F51" s="12">
        <f ca="1">-Assumptions!$B$28*Assumptions!$B$29*IF(AND(F6=Assumptions!$B$17,Assumptions!$B$24&gt;0),ROUND(F19*Assumptions!$B$25/Assumptions!$B$24,0),F19)</f>
        <v>-10000</v>
      </c>
      <c r="G51" s="12">
        <f ca="1">-Assumptions!$B$28*Assumptions!$B$29*IF(AND(G6=Assumptions!$B$17,Assumptions!$B$24&gt;0),ROUND(G19*Assumptions!$B$25/Assumptions!$B$24,0),G19)</f>
        <v>0</v>
      </c>
      <c r="H51" s="12">
        <f ca="1">-Assumptions!$B$28*Assumptions!$B$29*IF(AND(H6=Assumptions!$B$17,Assumptions!$B$24&gt;0),ROUND(H19*Assumptions!$B$25/Assumptions!$B$24,0),H19)</f>
        <v>0</v>
      </c>
      <c r="I51" s="12">
        <f ca="1">-Assumptions!$B$28*Assumptions!$B$29*IF(AND(I6=Assumptions!$B$17,Assumptions!$B$24&gt;0),ROUND(I19*Assumptions!$B$25/Assumptions!$B$24,0),I19)</f>
        <v>-10000</v>
      </c>
      <c r="J51" s="12">
        <f ca="1">-Assumptions!$B$28*Assumptions!$B$29*IF(AND(J6=Assumptions!$B$17,Assumptions!$B$24&gt;0),ROUND(J19*Assumptions!$B$25/Assumptions!$B$24,0),J19)</f>
        <v>0</v>
      </c>
      <c r="K51" s="12">
        <f ca="1">-Assumptions!$B$28*Assumptions!$B$29*IF(AND(K6=Assumptions!$B$17,Assumptions!$B$24&gt;0),ROUND(K19*Assumptions!$B$25/Assumptions!$B$24,0),K19)</f>
        <v>-10000</v>
      </c>
      <c r="L51" s="12">
        <f ca="1">-Assumptions!$B$28*Assumptions!$B$29*IF(AND(L6=Assumptions!$B$17,Assumptions!$B$24&gt;0),ROUND(L19*Assumptions!$B$25/Assumptions!$B$24,0),L19)</f>
        <v>0</v>
      </c>
      <c r="M51" s="12">
        <f ca="1">-Assumptions!$B$28*Assumptions!$B$29*IF(AND(M6=Assumptions!$B$17,Assumptions!$B$24&gt;0),ROUND(M19*Assumptions!$B$25/Assumptions!$B$24,0),M19)</f>
        <v>0</v>
      </c>
      <c r="N51" s="12">
        <f ca="1">-Assumptions!$B$28*Assumptions!$B$29*IF(AND(N6=Assumptions!$B$17,Assumptions!$B$24&gt;0),ROUND(N19*Assumptions!$B$25/Assumptions!$B$24,0),N19)</f>
        <v>-10000</v>
      </c>
      <c r="O51" s="12">
        <f ca="1">-Assumptions!$B$28*Assumptions!$B$29*IF(AND(O6=Assumptions!$B$17,Assumptions!$B$24&gt;0),ROUND(O19*Assumptions!$B$25/Assumptions!$B$24,0),O19)</f>
        <v>0</v>
      </c>
      <c r="P51" s="12">
        <f ca="1">-Assumptions!$B$28*Assumptions!$B$29*IF(AND(P6=Assumptions!$B$17,Assumptions!$B$24&gt;0),ROUND(P19*Assumptions!$B$25/Assumptions!$B$24,0),P19)</f>
        <v>0</v>
      </c>
      <c r="Q51" s="12">
        <f ca="1">-Assumptions!$B$28*Assumptions!$B$29*IF(AND(Q6=Assumptions!$B$17,Assumptions!$B$24&gt;0),ROUND(Q19*Assumptions!$B$25/Assumptions!$B$24,0),Q19)</f>
        <v>-10000</v>
      </c>
      <c r="R51" s="12">
        <f ca="1">-Assumptions!$B$28*Assumptions!$B$29*IF(AND(R6=Assumptions!$B$17,Assumptions!$B$24&gt;0),ROUND(R19*Assumptions!$B$25/Assumptions!$B$24,0),R19)</f>
        <v>-10000</v>
      </c>
      <c r="S51" s="12">
        <f ca="1">-Assumptions!$B$28*Assumptions!$B$29*IF(AND(S6=Assumptions!$B$17,Assumptions!$B$24&gt;0),ROUND(S19*Assumptions!$B$25/Assumptions!$B$24,0),S19)</f>
        <v>-10000</v>
      </c>
      <c r="T51" s="12">
        <f ca="1">-Assumptions!$B$28*Assumptions!$B$29*IF(AND(T6=Assumptions!$B$17,Assumptions!$B$24&gt;0),ROUND(T19*Assumptions!$B$25/Assumptions!$B$24,0),T19)</f>
        <v>-10000</v>
      </c>
      <c r="U51" s="12">
        <f ca="1">-Assumptions!$B$28*Assumptions!$B$29*IF(AND(U6=Assumptions!$B$17,Assumptions!$B$24&gt;0),ROUND(U19*Assumptions!$B$25/Assumptions!$B$24,0),U19)</f>
        <v>-10000</v>
      </c>
      <c r="V51" s="12">
        <f ca="1">-Assumptions!$B$28*Assumptions!$B$29*IF(AND(V6=Assumptions!$B$17,Assumptions!$B$24&gt;0),ROUND(V19*Assumptions!$B$25/Assumptions!$B$24,0),V19)</f>
        <v>-10000</v>
      </c>
      <c r="W51" s="12">
        <f ca="1">-Assumptions!$B$28*Assumptions!$B$29*IF(AND(W6=Assumptions!$B$17,Assumptions!$B$24&gt;0),ROUND(W19*Assumptions!$B$25/Assumptions!$B$24,0),W19)</f>
        <v>-10000</v>
      </c>
      <c r="X51" s="12">
        <f ca="1">-Assumptions!$B$28*Assumptions!$B$29*IF(AND(X6=Assumptions!$B$17,Assumptions!$B$24&gt;0),ROUND(X19*Assumptions!$B$25/Assumptions!$B$24,0),X19)</f>
        <v>-10000</v>
      </c>
      <c r="Y51" s="12">
        <f ca="1">-Assumptions!$B$28*Assumptions!$B$29*IF(AND(Y6=Assumptions!$B$17,Assumptions!$B$24&gt;0),ROUND(Y19*Assumptions!$B$25/Assumptions!$B$24,0),Y19)</f>
        <v>-20000</v>
      </c>
      <c r="Z51" s="12">
        <f ca="1">-Assumptions!$B$28*Assumptions!$B$29*IF(AND(Z6=Assumptions!$B$17,Assumptions!$B$24&gt;0),ROUND(Z19*Assumptions!$B$25/Assumptions!$B$24,0),Z19)</f>
        <v>-10000</v>
      </c>
      <c r="AA51" s="12">
        <f ca="1">-Assumptions!$B$28*Assumptions!$B$29*IF(AND(AA6=Assumptions!$B$17,Assumptions!$B$24&gt;0),ROUND(AA19*Assumptions!$B$25/Assumptions!$B$24,0),AA19)</f>
        <v>-10000</v>
      </c>
      <c r="AB51" s="12">
        <f ca="1">-Assumptions!$B$28*Assumptions!$B$29*IF(AND(AB6=Assumptions!$B$17,Assumptions!$B$24&gt;0),ROUND(AB19*Assumptions!$B$25/Assumptions!$B$24,0),AB19)</f>
        <v>-10000</v>
      </c>
      <c r="AC51" s="12">
        <f ca="1">-Assumptions!$B$28*Assumptions!$B$29*IF(AND(AC6=Assumptions!$B$17,Assumptions!$B$24&gt;0),ROUND(AC19*Assumptions!$B$25/Assumptions!$B$24,0),AC19)</f>
        <v>-10000</v>
      </c>
      <c r="AD51" s="12">
        <f ca="1">-Assumptions!$B$28*Assumptions!$B$29*IF(AND(AD6=Assumptions!$B$17,Assumptions!$B$24&gt;0),ROUND(AD19*Assumptions!$B$25/Assumptions!$B$24,0),AD19)</f>
        <v>-20000</v>
      </c>
      <c r="AE51" s="12">
        <f ca="1">-Assumptions!$B$28*Assumptions!$B$29*IF(AND(AE6=Assumptions!$B$17,Assumptions!$B$24&gt;0),ROUND(AE19*Assumptions!$B$25/Assumptions!$B$24,0),AE19)</f>
        <v>-10000</v>
      </c>
      <c r="AF51" s="12">
        <f ca="1">-Assumptions!$B$28*Assumptions!$B$29*IF(AND(AF6=Assumptions!$B$17,Assumptions!$B$24&gt;0),ROUND(AF19*Assumptions!$B$25/Assumptions!$B$24,0),AF19)</f>
        <v>-20000</v>
      </c>
      <c r="AG51" s="12">
        <f ca="1">-Assumptions!$B$28*Assumptions!$B$29*IF(AND(AG6=Assumptions!$B$17,Assumptions!$B$24&gt;0),ROUND(AG19*Assumptions!$B$25/Assumptions!$B$24,0),AG19)</f>
        <v>-10000</v>
      </c>
      <c r="AH51" s="12">
        <f ca="1">-Assumptions!$B$28*Assumptions!$B$29*IF(AND(AH6=Assumptions!$B$17,Assumptions!$B$24&gt;0),ROUND(AH19*Assumptions!$B$25/Assumptions!$B$24,0),AH19)</f>
        <v>-20000</v>
      </c>
      <c r="AI51" s="12">
        <f ca="1">-Assumptions!$B$28*Assumptions!$B$29*IF(AND(AI6=Assumptions!$B$17,Assumptions!$B$24&gt;0),ROUND(AI19*Assumptions!$B$25/Assumptions!$B$24,0),AI19)</f>
        <v>-20000</v>
      </c>
      <c r="AJ51" s="12">
        <f ca="1">-Assumptions!$B$28*Assumptions!$B$29*IF(AND(AJ6=Assumptions!$B$17,Assumptions!$B$24&gt;0),ROUND(AJ19*Assumptions!$B$25/Assumptions!$B$24,0),AJ19)</f>
        <v>-10000</v>
      </c>
      <c r="AK51" s="12">
        <f ca="1">-Assumptions!$B$28*Assumptions!$B$29*IF(AND(AK6=Assumptions!$B$17,Assumptions!$B$24&gt;0),ROUND(AK19*Assumptions!$B$25/Assumptions!$B$24,0),AK19)</f>
        <v>-20000</v>
      </c>
      <c r="AL51" s="12">
        <f ca="1">-Assumptions!$B$28*Assumptions!$B$29*IF(AND(AL6=Assumptions!$B$17,Assumptions!$B$24&gt;0),ROUND(AL19*Assumptions!$B$25/Assumptions!$B$24,0),AL19)</f>
        <v>-20000</v>
      </c>
    </row>
    <row r="52" spans="1:38" x14ac:dyDescent="0.25">
      <c r="A52" s="2" t="s">
        <v>35</v>
      </c>
      <c r="C52" s="12">
        <f ca="1">C38*Assumptions!$B$30/12</f>
        <v>0</v>
      </c>
      <c r="D52" s="12">
        <f ca="1">D38*Assumptions!$B$30/12</f>
        <v>1666.6666666666667</v>
      </c>
      <c r="E52" s="12">
        <f ca="1">E38*Assumptions!$B$30/12</f>
        <v>3333.3333333333335</v>
      </c>
      <c r="F52" s="12">
        <f ca="1">F38*Assumptions!$B$30/12</f>
        <v>3333.3333333333335</v>
      </c>
      <c r="G52" s="12">
        <f ca="1">G38*Assumptions!$B$30/12</f>
        <v>5000</v>
      </c>
      <c r="H52" s="12">
        <f ca="1">H38*Assumptions!$B$30/12</f>
        <v>5000</v>
      </c>
      <c r="I52" s="12">
        <f ca="1">I38*Assumptions!$B$30/12</f>
        <v>6666.666666666667</v>
      </c>
      <c r="J52" s="12">
        <f ca="1">J38*Assumptions!$B$30/12</f>
        <v>8333.3333333333339</v>
      </c>
      <c r="K52" s="12">
        <f ca="1">K38*Assumptions!$B$30/12</f>
        <v>8333.3333333333339</v>
      </c>
      <c r="L52" s="12">
        <f ca="1">L38*Assumptions!$B$30/12</f>
        <v>8333.3333333333339</v>
      </c>
      <c r="M52" s="12">
        <f ca="1">M38*Assumptions!$B$30/12</f>
        <v>8333.3333333333339</v>
      </c>
      <c r="N52" s="12">
        <f ca="1">N38*Assumptions!$B$30/12</f>
        <v>10000</v>
      </c>
      <c r="O52" s="12">
        <f ca="1">O38*Assumptions!$B$30/12</f>
        <v>11666.666666666666</v>
      </c>
      <c r="P52" s="12">
        <f ca="1">P38*Assumptions!$B$30/12</f>
        <v>13333.333333333334</v>
      </c>
      <c r="Q52" s="12">
        <f ca="1">Q38*Assumptions!$B$30/12</f>
        <v>15000</v>
      </c>
      <c r="R52" s="12">
        <f ca="1">R38*Assumptions!$B$30/12</f>
        <v>15000</v>
      </c>
      <c r="S52" s="12">
        <f ca="1">S38*Assumptions!$B$30/12</f>
        <v>16666.666666666668</v>
      </c>
      <c r="T52" s="12">
        <f ca="1">T38*Assumptions!$B$30/12</f>
        <v>20000</v>
      </c>
      <c r="U52" s="12">
        <f ca="1">U38*Assumptions!$B$30/12</f>
        <v>21666.666666666668</v>
      </c>
      <c r="V52" s="12">
        <f ca="1">V38*Assumptions!$B$30/12</f>
        <v>25000</v>
      </c>
      <c r="W52" s="12">
        <f ca="1">W38*Assumptions!$B$30/12</f>
        <v>26666.666666666668</v>
      </c>
      <c r="X52" s="12">
        <f ca="1">X38*Assumptions!$B$30/12</f>
        <v>28333.333333333332</v>
      </c>
      <c r="Y52" s="12">
        <f ca="1">Y38*Assumptions!$B$30/12</f>
        <v>31666.666666666668</v>
      </c>
      <c r="Z52" s="12">
        <f ca="1">Z38*Assumptions!$B$30/12</f>
        <v>31666.666666666668</v>
      </c>
      <c r="AA52" s="12">
        <f ca="1">AA38*Assumptions!$B$30/12</f>
        <v>35000</v>
      </c>
      <c r="AB52" s="12">
        <f ca="1">AB38*Assumptions!$B$30/12</f>
        <v>36666.666666666664</v>
      </c>
      <c r="AC52" s="12">
        <f ca="1">AC38*Assumptions!$B$30/12</f>
        <v>40000</v>
      </c>
      <c r="AD52" s="12">
        <f ca="1">AD38*Assumptions!$B$30/12</f>
        <v>43333.333333333336</v>
      </c>
      <c r="AE52" s="12">
        <f ca="1">AE38*Assumptions!$B$30/12</f>
        <v>45000</v>
      </c>
      <c r="AF52" s="12">
        <f ca="1">AF38*Assumptions!$B$30/12</f>
        <v>48333.333333333336</v>
      </c>
      <c r="AG52" s="12">
        <f ca="1">AG38*Assumptions!$B$30/12</f>
        <v>50000</v>
      </c>
      <c r="AH52" s="12">
        <f ca="1">AH38*Assumptions!$B$30/12</f>
        <v>55000</v>
      </c>
      <c r="AI52" s="12">
        <f ca="1">AI38*Assumptions!$B$30/12</f>
        <v>56666.666666666664</v>
      </c>
      <c r="AJ52" s="12">
        <f ca="1">AJ38*Assumptions!$B$30/12</f>
        <v>60000</v>
      </c>
      <c r="AK52" s="12">
        <f ca="1">AK38*Assumptions!$B$30/12</f>
        <v>63333.333333333336</v>
      </c>
      <c r="AL52" s="12">
        <f ca="1">AL38*Assumptions!$B$30/12</f>
        <v>65000</v>
      </c>
    </row>
    <row r="53" spans="1:38" x14ac:dyDescent="0.25">
      <c r="A53" s="2" t="s">
        <v>36</v>
      </c>
      <c r="C53" s="12">
        <f ca="1">C42*Assumptions!$B$31/12</f>
        <v>0</v>
      </c>
      <c r="D53" s="12">
        <f ca="1">D42*Assumptions!$B$31/12</f>
        <v>0</v>
      </c>
      <c r="E53" s="12">
        <f ca="1">E42*Assumptions!$B$31/12</f>
        <v>7500</v>
      </c>
      <c r="F53" s="12">
        <f ca="1">F42*Assumptions!$B$31/12</f>
        <v>11250</v>
      </c>
      <c r="G53" s="12">
        <f ca="1">G42*Assumptions!$B$31/12</f>
        <v>11250</v>
      </c>
      <c r="H53" s="12">
        <f ca="1">H42*Assumptions!$B$31/12</f>
        <v>11250</v>
      </c>
      <c r="I53" s="12">
        <f ca="1">I42*Assumptions!$B$31/12</f>
        <v>11250</v>
      </c>
      <c r="J53" s="12">
        <f ca="1">J42*Assumptions!$B$31/12</f>
        <v>11250</v>
      </c>
      <c r="K53" s="12">
        <f ca="1">K42*Assumptions!$B$31/12</f>
        <v>15000</v>
      </c>
      <c r="L53" s="12">
        <f ca="1">L42*Assumptions!$B$31/12</f>
        <v>15000</v>
      </c>
      <c r="M53" s="12">
        <f ca="1">M42*Assumptions!$B$31/12</f>
        <v>15000</v>
      </c>
      <c r="N53" s="12">
        <f ca="1">N42*Assumptions!$B$31/12</f>
        <v>18750</v>
      </c>
      <c r="O53" s="12">
        <f ca="1">O42*Assumptions!$B$31/12</f>
        <v>18750</v>
      </c>
      <c r="P53" s="12">
        <f ca="1">P42*Assumptions!$B$31/12</f>
        <v>18750</v>
      </c>
      <c r="Q53" s="12">
        <f ca="1">Q42*Assumptions!$B$31/12</f>
        <v>18750</v>
      </c>
      <c r="R53" s="12">
        <f ca="1">R42*Assumptions!$B$31/12</f>
        <v>22500</v>
      </c>
      <c r="S53" s="12">
        <f ca="1">S42*Assumptions!$B$31/12</f>
        <v>26250</v>
      </c>
      <c r="T53" s="12">
        <f ca="1">T42*Assumptions!$B$31/12</f>
        <v>26250</v>
      </c>
      <c r="U53" s="12">
        <f ca="1">U42*Assumptions!$B$31/12</f>
        <v>33750</v>
      </c>
      <c r="V53" s="12">
        <f ca="1">V42*Assumptions!$B$31/12</f>
        <v>33750</v>
      </c>
      <c r="W53" s="12">
        <f ca="1">W42*Assumptions!$B$31/12</f>
        <v>37500</v>
      </c>
      <c r="X53" s="12">
        <f ca="1">X42*Assumptions!$B$31/12</f>
        <v>41250</v>
      </c>
      <c r="Y53" s="12">
        <f ca="1">Y42*Assumptions!$B$31/12</f>
        <v>45000</v>
      </c>
      <c r="Z53" s="12">
        <f ca="1">Z42*Assumptions!$B$31/12</f>
        <v>45000</v>
      </c>
      <c r="AA53" s="12">
        <f ca="1">AA42*Assumptions!$B$31/12</f>
        <v>45000</v>
      </c>
      <c r="AB53" s="12">
        <f ca="1">AB42*Assumptions!$B$31/12</f>
        <v>48750</v>
      </c>
      <c r="AC53" s="12">
        <f ca="1">AC42*Assumptions!$B$31/12</f>
        <v>56250</v>
      </c>
      <c r="AD53" s="12">
        <f ca="1">AD42*Assumptions!$B$31/12</f>
        <v>60000</v>
      </c>
      <c r="AE53" s="12">
        <f ca="1">AE42*Assumptions!$B$31/12</f>
        <v>63750</v>
      </c>
      <c r="AF53" s="12">
        <f ca="1">AF42*Assumptions!$B$31/12</f>
        <v>67500</v>
      </c>
      <c r="AG53" s="12">
        <f ca="1">AG42*Assumptions!$B$31/12</f>
        <v>71250</v>
      </c>
      <c r="AH53" s="12">
        <f ca="1">AH42*Assumptions!$B$31/12</f>
        <v>75000</v>
      </c>
      <c r="AI53" s="12">
        <f ca="1">AI42*Assumptions!$B$31/12</f>
        <v>82500</v>
      </c>
      <c r="AJ53" s="12">
        <f ca="1">AJ42*Assumptions!$B$31/12</f>
        <v>86250</v>
      </c>
      <c r="AK53" s="12">
        <f ca="1">AK42*Assumptions!$B$31/12</f>
        <v>90000</v>
      </c>
      <c r="AL53" s="12">
        <f ca="1">AL42*Assumptions!$B$31/12</f>
        <v>93750</v>
      </c>
    </row>
    <row r="54" spans="1:38" x14ac:dyDescent="0.25">
      <c r="A54" s="2" t="s">
        <v>37</v>
      </c>
      <c r="C54" s="12">
        <f>C43*Assumptions!$B$32/12+C44*Assumptions!$B$34/12</f>
        <v>0</v>
      </c>
      <c r="D54" s="12">
        <f>D43*Assumptions!$B$32/12+D44*Assumptions!$B$34/12</f>
        <v>0</v>
      </c>
      <c r="E54" s="12">
        <f>E43*Assumptions!$B$32/12+E44*Assumptions!$B$34/12</f>
        <v>0</v>
      </c>
      <c r="F54" s="12">
        <f>F43*Assumptions!$B$32/12+F44*Assumptions!$B$34/12</f>
        <v>0</v>
      </c>
      <c r="G54" s="12">
        <f>G43*Assumptions!$B$32/12+G44*Assumptions!$B$34/12</f>
        <v>0</v>
      </c>
      <c r="H54" s="12">
        <f>H43*Assumptions!$B$32/12+H44*Assumptions!$B$34/12</f>
        <v>0</v>
      </c>
      <c r="I54" s="12">
        <f>I43*Assumptions!$B$32/12+I44*Assumptions!$B$34/12</f>
        <v>0</v>
      </c>
      <c r="J54" s="12">
        <f>J43*Assumptions!$B$32/12+J44*Assumptions!$B$34/12</f>
        <v>0</v>
      </c>
      <c r="K54" s="12">
        <f>K43*Assumptions!$B$32/12+K44*Assumptions!$B$34/12</f>
        <v>0</v>
      </c>
      <c r="L54" s="12">
        <f>L43*Assumptions!$B$32/12+L44*Assumptions!$B$34/12</f>
        <v>0</v>
      </c>
      <c r="M54" s="12">
        <f>M43*Assumptions!$B$32/12+M44*Assumptions!$B$34/12</f>
        <v>0</v>
      </c>
      <c r="N54" s="12">
        <f>N43*Assumptions!$B$32/12+N44*Assumptions!$B$34/12</f>
        <v>0</v>
      </c>
      <c r="O54" s="12">
        <f>O43*Assumptions!$B$32/12+O44*Assumptions!$B$34/12</f>
        <v>0</v>
      </c>
      <c r="P54" s="12">
        <f>P43*Assumptions!$B$32/12+P44*Assumptions!$B$34/12</f>
        <v>0</v>
      </c>
      <c r="Q54" s="12">
        <f>Q43*Assumptions!$B$32/12+Q44*Assumptions!$B$34/12</f>
        <v>0</v>
      </c>
      <c r="R54" s="12">
        <f>R43*Assumptions!$B$32/12+R44*Assumptions!$B$34/12</f>
        <v>0</v>
      </c>
      <c r="S54" s="12">
        <f>S43*Assumptions!$B$32/12+S44*Assumptions!$B$34/12</f>
        <v>0</v>
      </c>
      <c r="T54" s="12">
        <f>T43*Assumptions!$B$32/12+T44*Assumptions!$B$34/12</f>
        <v>10000</v>
      </c>
      <c r="U54" s="12">
        <f>U43*Assumptions!$B$32/12+U44*Assumptions!$B$34/12</f>
        <v>10000</v>
      </c>
      <c r="V54" s="12">
        <f>V43*Assumptions!$B$32/12+V44*Assumptions!$B$34/12</f>
        <v>10000</v>
      </c>
      <c r="W54" s="12">
        <f>W43*Assumptions!$B$32/12+W44*Assumptions!$B$34/12</f>
        <v>10000</v>
      </c>
      <c r="X54" s="12">
        <f>X43*Assumptions!$B$32/12+X44*Assumptions!$B$34/12</f>
        <v>10000</v>
      </c>
      <c r="Y54" s="12">
        <f>Y43*Assumptions!$B$32/12+Y44*Assumptions!$B$34/12</f>
        <v>10000</v>
      </c>
      <c r="Z54" s="12">
        <f>Z43*Assumptions!$B$32/12+Z44*Assumptions!$B$34/12</f>
        <v>10000</v>
      </c>
      <c r="AA54" s="12">
        <f>AA43*Assumptions!$B$32/12+AA44*Assumptions!$B$34/12</f>
        <v>10000</v>
      </c>
      <c r="AB54" s="12">
        <f>AB43*Assumptions!$B$32/12+AB44*Assumptions!$B$34/12</f>
        <v>10000</v>
      </c>
      <c r="AC54" s="12">
        <f>AC43*Assumptions!$B$32/12+AC44*Assumptions!$B$34/12</f>
        <v>10000</v>
      </c>
      <c r="AD54" s="12">
        <f>AD43*Assumptions!$B$32/12+AD44*Assumptions!$B$34/12</f>
        <v>10000</v>
      </c>
      <c r="AE54" s="12">
        <f>AE43*Assumptions!$B$32/12+AE44*Assumptions!$B$34/12</f>
        <v>10000</v>
      </c>
      <c r="AF54" s="12">
        <f>AF43*Assumptions!$B$32/12+AF44*Assumptions!$B$34/12</f>
        <v>26666.666666666668</v>
      </c>
      <c r="AG54" s="12">
        <f>AG43*Assumptions!$B$32/12+AG44*Assumptions!$B$34/12</f>
        <v>26666.666666666668</v>
      </c>
      <c r="AH54" s="12">
        <f>AH43*Assumptions!$B$32/12+AH44*Assumptions!$B$34/12</f>
        <v>26666.666666666668</v>
      </c>
      <c r="AI54" s="12">
        <f>AI43*Assumptions!$B$32/12+AI44*Assumptions!$B$34/12</f>
        <v>26666.666666666668</v>
      </c>
      <c r="AJ54" s="12">
        <f>AJ43*Assumptions!$B$32/12+AJ44*Assumptions!$B$34/12</f>
        <v>26666.666666666668</v>
      </c>
      <c r="AK54" s="12">
        <f>AK43*Assumptions!$B$32/12+AK44*Assumptions!$B$34/12</f>
        <v>26666.666666666668</v>
      </c>
      <c r="AL54" s="12">
        <f>AL43*Assumptions!$B$32/12+AL44*Assumptions!$B$34/12</f>
        <v>26666.666666666668</v>
      </c>
    </row>
    <row r="55" spans="1:38" x14ac:dyDescent="0.25">
      <c r="A55" s="3" t="s">
        <v>38</v>
      </c>
      <c r="C55" s="42">
        <f t="shared" ref="C55:AL55" ca="1" si="25">SUM(C50:C54)</f>
        <v>50000</v>
      </c>
      <c r="D55" s="42">
        <f t="shared" ca="1" si="25"/>
        <v>11666.666666666666</v>
      </c>
      <c r="E55" s="42">
        <f t="shared" ca="1" si="25"/>
        <v>-9166.6666666666679</v>
      </c>
      <c r="F55" s="42">
        <f t="shared" ca="1" si="25"/>
        <v>14583.333333333334</v>
      </c>
      <c r="G55" s="42">
        <f t="shared" ca="1" si="25"/>
        <v>26250</v>
      </c>
      <c r="H55" s="42">
        <f t="shared" ca="1" si="25"/>
        <v>26250</v>
      </c>
      <c r="I55" s="42">
        <f t="shared" ca="1" si="25"/>
        <v>7916.666666666667</v>
      </c>
      <c r="J55" s="42">
        <f t="shared" ca="1" si="25"/>
        <v>29583.333333333336</v>
      </c>
      <c r="K55" s="42">
        <f t="shared" ca="1" si="25"/>
        <v>23333.333333333336</v>
      </c>
      <c r="L55" s="42">
        <f t="shared" ca="1" si="25"/>
        <v>33333.333333333336</v>
      </c>
      <c r="M55" s="42">
        <f t="shared" ca="1" si="25"/>
        <v>23333.333333333336</v>
      </c>
      <c r="N55" s="42">
        <f t="shared" ca="1" si="25"/>
        <v>28750</v>
      </c>
      <c r="O55" s="42">
        <f t="shared" ca="1" si="25"/>
        <v>50416.666666666664</v>
      </c>
      <c r="P55" s="42">
        <f t="shared" ca="1" si="25"/>
        <v>52083.333333333336</v>
      </c>
      <c r="Q55" s="42">
        <f t="shared" ca="1" si="25"/>
        <v>53750</v>
      </c>
      <c r="R55" s="42">
        <f t="shared" ca="1" si="25"/>
        <v>47500</v>
      </c>
      <c r="S55" s="42">
        <f t="shared" ca="1" si="25"/>
        <v>52916.666666666672</v>
      </c>
      <c r="T55" s="42">
        <f t="shared" ca="1" si="25"/>
        <v>66250</v>
      </c>
      <c r="U55" s="42">
        <f t="shared" ca="1" si="25"/>
        <v>75416.666666666672</v>
      </c>
      <c r="V55" s="42">
        <f t="shared" ca="1" si="25"/>
        <v>88750</v>
      </c>
      <c r="W55" s="42">
        <f t="shared" ca="1" si="25"/>
        <v>84166.666666666672</v>
      </c>
      <c r="X55" s="42">
        <f t="shared" ca="1" si="25"/>
        <v>89583.333333333328</v>
      </c>
      <c r="Y55" s="42">
        <f t="shared" ca="1" si="25"/>
        <v>86666.666666666672</v>
      </c>
      <c r="Z55" s="42">
        <f t="shared" ca="1" si="25"/>
        <v>96666.666666666672</v>
      </c>
      <c r="AA55" s="42">
        <f t="shared" ca="1" si="25"/>
        <v>120000</v>
      </c>
      <c r="AB55" s="42">
        <f t="shared" ca="1" si="25"/>
        <v>115416.66666666666</v>
      </c>
      <c r="AC55" s="42">
        <f t="shared" ca="1" si="25"/>
        <v>126250</v>
      </c>
      <c r="AD55" s="42">
        <f t="shared" ca="1" si="25"/>
        <v>123333.33333333334</v>
      </c>
      <c r="AE55" s="42">
        <f t="shared" ca="1" si="25"/>
        <v>148750</v>
      </c>
      <c r="AF55" s="42">
        <f t="shared" ca="1" si="25"/>
        <v>152500</v>
      </c>
      <c r="AG55" s="42">
        <f t="shared" ca="1" si="25"/>
        <v>167916.66666666666</v>
      </c>
      <c r="AH55" s="42">
        <f t="shared" ca="1" si="25"/>
        <v>176666.66666666666</v>
      </c>
      <c r="AI55" s="42">
        <f t="shared" ca="1" si="25"/>
        <v>175833.33333333331</v>
      </c>
      <c r="AJ55" s="42">
        <f t="shared" ca="1" si="25"/>
        <v>192916.66666666666</v>
      </c>
      <c r="AK55" s="42">
        <f t="shared" ca="1" si="25"/>
        <v>200000</v>
      </c>
      <c r="AL55" s="42">
        <f t="shared" ca="1" si="25"/>
        <v>195416.66666666666</v>
      </c>
    </row>
    <row r="56" spans="1:38" x14ac:dyDescent="0.25">
      <c r="A56" s="2" t="s">
        <v>334</v>
      </c>
      <c r="C56" s="12">
        <f t="shared" ref="C56:AL56" ca="1" si="26">C52+C53+C54</f>
        <v>0</v>
      </c>
      <c r="D56" s="12">
        <f t="shared" ca="1" si="26"/>
        <v>1666.6666666666667</v>
      </c>
      <c r="E56" s="12">
        <f t="shared" ca="1" si="26"/>
        <v>10833.333333333334</v>
      </c>
      <c r="F56" s="12">
        <f t="shared" ca="1" si="26"/>
        <v>14583.333333333334</v>
      </c>
      <c r="G56" s="12">
        <f t="shared" ca="1" si="26"/>
        <v>16250</v>
      </c>
      <c r="H56" s="12">
        <f t="shared" ca="1" si="26"/>
        <v>16250</v>
      </c>
      <c r="I56" s="12">
        <f t="shared" ca="1" si="26"/>
        <v>17916.666666666668</v>
      </c>
      <c r="J56" s="12">
        <f t="shared" ca="1" si="26"/>
        <v>19583.333333333336</v>
      </c>
      <c r="K56" s="12">
        <f t="shared" ca="1" si="26"/>
        <v>23333.333333333336</v>
      </c>
      <c r="L56" s="12">
        <f t="shared" ca="1" si="26"/>
        <v>23333.333333333336</v>
      </c>
      <c r="M56" s="12">
        <f t="shared" ca="1" si="26"/>
        <v>23333.333333333336</v>
      </c>
      <c r="N56" s="12">
        <f t="shared" ca="1" si="26"/>
        <v>28750</v>
      </c>
      <c r="O56" s="12">
        <f t="shared" ca="1" si="26"/>
        <v>30416.666666666664</v>
      </c>
      <c r="P56" s="12">
        <f t="shared" ca="1" si="26"/>
        <v>32083.333333333336</v>
      </c>
      <c r="Q56" s="12">
        <f t="shared" ca="1" si="26"/>
        <v>33750</v>
      </c>
      <c r="R56" s="12">
        <f t="shared" ca="1" si="26"/>
        <v>37500</v>
      </c>
      <c r="S56" s="12">
        <f t="shared" ca="1" si="26"/>
        <v>42916.666666666672</v>
      </c>
      <c r="T56" s="12">
        <f t="shared" ca="1" si="26"/>
        <v>56250</v>
      </c>
      <c r="U56" s="12">
        <f t="shared" ca="1" si="26"/>
        <v>65416.666666666672</v>
      </c>
      <c r="V56" s="12">
        <f t="shared" ca="1" si="26"/>
        <v>68750</v>
      </c>
      <c r="W56" s="12">
        <f t="shared" ca="1" si="26"/>
        <v>74166.666666666672</v>
      </c>
      <c r="X56" s="12">
        <f t="shared" ca="1" si="26"/>
        <v>79583.333333333328</v>
      </c>
      <c r="Y56" s="12">
        <f t="shared" ca="1" si="26"/>
        <v>86666.666666666672</v>
      </c>
      <c r="Z56" s="12">
        <f t="shared" ca="1" si="26"/>
        <v>86666.666666666672</v>
      </c>
      <c r="AA56" s="12">
        <f t="shared" ca="1" si="26"/>
        <v>90000</v>
      </c>
      <c r="AB56" s="12">
        <f t="shared" ca="1" si="26"/>
        <v>95416.666666666657</v>
      </c>
      <c r="AC56" s="12">
        <f t="shared" ca="1" si="26"/>
        <v>106250</v>
      </c>
      <c r="AD56" s="12">
        <f t="shared" ca="1" si="26"/>
        <v>113333.33333333334</v>
      </c>
      <c r="AE56" s="12">
        <f t="shared" ca="1" si="26"/>
        <v>118750</v>
      </c>
      <c r="AF56" s="12">
        <f t="shared" ca="1" si="26"/>
        <v>142500</v>
      </c>
      <c r="AG56" s="12">
        <f t="shared" ca="1" si="26"/>
        <v>147916.66666666666</v>
      </c>
      <c r="AH56" s="12">
        <f t="shared" ca="1" si="26"/>
        <v>156666.66666666666</v>
      </c>
      <c r="AI56" s="12">
        <f t="shared" ca="1" si="26"/>
        <v>165833.33333333331</v>
      </c>
      <c r="AJ56" s="12">
        <f t="shared" ca="1" si="26"/>
        <v>172916.66666666666</v>
      </c>
      <c r="AK56" s="12">
        <f t="shared" ca="1" si="26"/>
        <v>180000</v>
      </c>
      <c r="AL56" s="12">
        <f t="shared" ca="1" si="26"/>
        <v>185416.66666666666</v>
      </c>
    </row>
    <row r="57" spans="1:38" x14ac:dyDescent="0.25">
      <c r="A57" s="3" t="s">
        <v>335</v>
      </c>
      <c r="C57" s="42">
        <f t="shared" ref="C57:AL57" ca="1" si="27">C56*12</f>
        <v>0</v>
      </c>
      <c r="D57" s="42">
        <f t="shared" ca="1" si="27"/>
        <v>20000</v>
      </c>
      <c r="E57" s="42">
        <f t="shared" ca="1" si="27"/>
        <v>130000</v>
      </c>
      <c r="F57" s="42">
        <f t="shared" ca="1" si="27"/>
        <v>175000</v>
      </c>
      <c r="G57" s="42">
        <f t="shared" ca="1" si="27"/>
        <v>195000</v>
      </c>
      <c r="H57" s="42">
        <f t="shared" ca="1" si="27"/>
        <v>195000</v>
      </c>
      <c r="I57" s="42">
        <f t="shared" ca="1" si="27"/>
        <v>215000</v>
      </c>
      <c r="J57" s="42">
        <f t="shared" ca="1" si="27"/>
        <v>235000.00000000003</v>
      </c>
      <c r="K57" s="42">
        <f t="shared" ca="1" si="27"/>
        <v>280000</v>
      </c>
      <c r="L57" s="42">
        <f t="shared" ca="1" si="27"/>
        <v>280000</v>
      </c>
      <c r="M57" s="42">
        <f t="shared" ca="1" si="27"/>
        <v>280000</v>
      </c>
      <c r="N57" s="42">
        <f t="shared" ca="1" si="27"/>
        <v>345000</v>
      </c>
      <c r="O57" s="42">
        <f t="shared" ca="1" si="27"/>
        <v>365000</v>
      </c>
      <c r="P57" s="42">
        <f t="shared" ca="1" si="27"/>
        <v>385000</v>
      </c>
      <c r="Q57" s="42">
        <f t="shared" ca="1" si="27"/>
        <v>405000</v>
      </c>
      <c r="R57" s="42">
        <f t="shared" ca="1" si="27"/>
        <v>450000</v>
      </c>
      <c r="S57" s="42">
        <f t="shared" ca="1" si="27"/>
        <v>515000.00000000006</v>
      </c>
      <c r="T57" s="42">
        <f t="shared" ca="1" si="27"/>
        <v>675000</v>
      </c>
      <c r="U57" s="42">
        <f t="shared" ca="1" si="27"/>
        <v>785000</v>
      </c>
      <c r="V57" s="42">
        <f t="shared" ca="1" si="27"/>
        <v>825000</v>
      </c>
      <c r="W57" s="42">
        <f t="shared" ca="1" si="27"/>
        <v>890000</v>
      </c>
      <c r="X57" s="42">
        <f t="shared" ca="1" si="27"/>
        <v>955000</v>
      </c>
      <c r="Y57" s="42">
        <f t="shared" ca="1" si="27"/>
        <v>1040000</v>
      </c>
      <c r="Z57" s="42">
        <f t="shared" ca="1" si="27"/>
        <v>1040000</v>
      </c>
      <c r="AA57" s="42">
        <f t="shared" ca="1" si="27"/>
        <v>1080000</v>
      </c>
      <c r="AB57" s="42">
        <f t="shared" ca="1" si="27"/>
        <v>1145000</v>
      </c>
      <c r="AC57" s="42">
        <f t="shared" ca="1" si="27"/>
        <v>1275000</v>
      </c>
      <c r="AD57" s="42">
        <f t="shared" ca="1" si="27"/>
        <v>1360000</v>
      </c>
      <c r="AE57" s="42">
        <f t="shared" ca="1" si="27"/>
        <v>1425000</v>
      </c>
      <c r="AF57" s="42">
        <f t="shared" ca="1" si="27"/>
        <v>1710000</v>
      </c>
      <c r="AG57" s="42">
        <f t="shared" ca="1" si="27"/>
        <v>1775000</v>
      </c>
      <c r="AH57" s="42">
        <f t="shared" ca="1" si="27"/>
        <v>1880000</v>
      </c>
      <c r="AI57" s="42">
        <f t="shared" ca="1" si="27"/>
        <v>1989999.9999999998</v>
      </c>
      <c r="AJ57" s="42">
        <f t="shared" ca="1" si="27"/>
        <v>2075000</v>
      </c>
      <c r="AK57" s="42">
        <f t="shared" ca="1" si="27"/>
        <v>2160000</v>
      </c>
      <c r="AL57" s="42">
        <f t="shared" ca="1" si="27"/>
        <v>2225000</v>
      </c>
    </row>
    <row r="59" spans="1:38" x14ac:dyDescent="0.25">
      <c r="A59" s="5" t="s">
        <v>336</v>
      </c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</row>
    <row r="60" spans="1:38" x14ac:dyDescent="0.25">
      <c r="A60" s="2" t="s">
        <v>337</v>
      </c>
      <c r="C60" s="12">
        <f>IF(C6&gt;=Assumptions!$B$48,Assumptions!$B$45*Assumptions!$B$44/12+Assumptions!$B$47*Assumptions!$B$46/12,0)</f>
        <v>23333.333333333332</v>
      </c>
      <c r="D60" s="12">
        <f>IF(D6&gt;=Assumptions!$B$48,Assumptions!$B$45*Assumptions!$B$44/12+Assumptions!$B$47*Assumptions!$B$46/12,0)</f>
        <v>23333.333333333332</v>
      </c>
      <c r="E60" s="12">
        <f>IF(E6&gt;=Assumptions!$B$48,Assumptions!$B$45*Assumptions!$B$44/12+Assumptions!$B$47*Assumptions!$B$46/12,0)</f>
        <v>23333.333333333332</v>
      </c>
      <c r="F60" s="12">
        <f>IF(F6&gt;=Assumptions!$B$48,Assumptions!$B$45*Assumptions!$B$44/12+Assumptions!$B$47*Assumptions!$B$46/12,0)</f>
        <v>23333.333333333332</v>
      </c>
      <c r="G60" s="12">
        <f>IF(G6&gt;=Assumptions!$B$48,Assumptions!$B$45*Assumptions!$B$44/12+Assumptions!$B$47*Assumptions!$B$46/12,0)</f>
        <v>23333.333333333332</v>
      </c>
      <c r="H60" s="12">
        <f>IF(H6&gt;=Assumptions!$B$48,Assumptions!$B$45*Assumptions!$B$44/12+Assumptions!$B$47*Assumptions!$B$46/12,0)</f>
        <v>23333.333333333332</v>
      </c>
      <c r="I60" s="12">
        <f>IF(I6&gt;=Assumptions!$B$48,Assumptions!$B$45*Assumptions!$B$44/12+Assumptions!$B$47*Assumptions!$B$46/12,0)</f>
        <v>23333.333333333332</v>
      </c>
      <c r="J60" s="12">
        <f>IF(J6&gt;=Assumptions!$B$48,Assumptions!$B$45*Assumptions!$B$44/12+Assumptions!$B$47*Assumptions!$B$46/12,0)</f>
        <v>23333.333333333332</v>
      </c>
      <c r="K60" s="12">
        <f>IF(K6&gt;=Assumptions!$B$48,Assumptions!$B$45*Assumptions!$B$44/12+Assumptions!$B$47*Assumptions!$B$46/12,0)</f>
        <v>23333.333333333332</v>
      </c>
      <c r="L60" s="12">
        <f>IF(L6&gt;=Assumptions!$B$48,Assumptions!$B$45*Assumptions!$B$44/12+Assumptions!$B$47*Assumptions!$B$46/12,0)</f>
        <v>23333.333333333332</v>
      </c>
      <c r="M60" s="12">
        <f>IF(M6&gt;=Assumptions!$B$48,Assumptions!$B$45*Assumptions!$B$44/12+Assumptions!$B$47*Assumptions!$B$46/12,0)</f>
        <v>23333.333333333332</v>
      </c>
      <c r="N60" s="12">
        <f>IF(N6&gt;=Assumptions!$B$48,Assumptions!$B$45*Assumptions!$B$44/12+Assumptions!$B$47*Assumptions!$B$46/12,0)</f>
        <v>23333.333333333332</v>
      </c>
      <c r="O60" s="12">
        <f>IF(O6&gt;=Assumptions!$B$48,Assumptions!$B$45*Assumptions!$B$44/12+Assumptions!$B$47*Assumptions!$B$46/12,0)</f>
        <v>23333.333333333332</v>
      </c>
      <c r="P60" s="12">
        <f>IF(P6&gt;=Assumptions!$B$48,Assumptions!$B$45*Assumptions!$B$44/12+Assumptions!$B$47*Assumptions!$B$46/12,0)</f>
        <v>23333.333333333332</v>
      </c>
      <c r="Q60" s="12">
        <f>IF(Q6&gt;=Assumptions!$B$48,Assumptions!$B$45*Assumptions!$B$44/12+Assumptions!$B$47*Assumptions!$B$46/12,0)</f>
        <v>23333.333333333332</v>
      </c>
      <c r="R60" s="12">
        <f>IF(R6&gt;=Assumptions!$B$48,Assumptions!$B$45*Assumptions!$B$44/12+Assumptions!$B$47*Assumptions!$B$46/12,0)</f>
        <v>23333.333333333332</v>
      </c>
      <c r="S60" s="12">
        <f>IF(S6&gt;=Assumptions!$B$48,Assumptions!$B$45*Assumptions!$B$44/12+Assumptions!$B$47*Assumptions!$B$46/12,0)</f>
        <v>23333.333333333332</v>
      </c>
      <c r="T60" s="12">
        <f>IF(T6&gt;=Assumptions!$B$48,Assumptions!$B$45*Assumptions!$B$44/12+Assumptions!$B$47*Assumptions!$B$46/12,0)</f>
        <v>23333.333333333332</v>
      </c>
      <c r="U60" s="12">
        <f>IF(U6&gt;=Assumptions!$B$48,Assumptions!$B$45*Assumptions!$B$44/12+Assumptions!$B$47*Assumptions!$B$46/12,0)</f>
        <v>23333.333333333332</v>
      </c>
      <c r="V60" s="12">
        <f>IF(V6&gt;=Assumptions!$B$48,Assumptions!$B$45*Assumptions!$B$44/12+Assumptions!$B$47*Assumptions!$B$46/12,0)</f>
        <v>23333.333333333332</v>
      </c>
      <c r="W60" s="12">
        <f>IF(W6&gt;=Assumptions!$B$48,Assumptions!$B$45*Assumptions!$B$44/12+Assumptions!$B$47*Assumptions!$B$46/12,0)</f>
        <v>23333.333333333332</v>
      </c>
      <c r="X60" s="12">
        <f>IF(X6&gt;=Assumptions!$B$48,Assumptions!$B$45*Assumptions!$B$44/12+Assumptions!$B$47*Assumptions!$B$46/12,0)</f>
        <v>23333.333333333332</v>
      </c>
      <c r="Y60" s="12">
        <f>IF(Y6&gt;=Assumptions!$B$48,Assumptions!$B$45*Assumptions!$B$44/12+Assumptions!$B$47*Assumptions!$B$46/12,0)</f>
        <v>23333.333333333332</v>
      </c>
      <c r="Z60" s="12">
        <f>IF(Z6&gt;=Assumptions!$B$48,Assumptions!$B$45*Assumptions!$B$44/12+Assumptions!$B$47*Assumptions!$B$46/12,0)</f>
        <v>23333.333333333332</v>
      </c>
      <c r="AA60" s="12">
        <f>IF(AA6&gt;=Assumptions!$B$48,Assumptions!$B$45*Assumptions!$B$44/12+Assumptions!$B$47*Assumptions!$B$46/12,0)</f>
        <v>23333.333333333332</v>
      </c>
      <c r="AB60" s="12">
        <f>IF(AB6&gt;=Assumptions!$B$48,Assumptions!$B$45*Assumptions!$B$44/12+Assumptions!$B$47*Assumptions!$B$46/12,0)</f>
        <v>23333.333333333332</v>
      </c>
      <c r="AC60" s="12">
        <f>IF(AC6&gt;=Assumptions!$B$48,Assumptions!$B$45*Assumptions!$B$44/12+Assumptions!$B$47*Assumptions!$B$46/12,0)</f>
        <v>23333.333333333332</v>
      </c>
      <c r="AD60" s="12">
        <f>IF(AD6&gt;=Assumptions!$B$48,Assumptions!$B$45*Assumptions!$B$44/12+Assumptions!$B$47*Assumptions!$B$46/12,0)</f>
        <v>23333.333333333332</v>
      </c>
      <c r="AE60" s="12">
        <f>IF(AE6&gt;=Assumptions!$B$48,Assumptions!$B$45*Assumptions!$B$44/12+Assumptions!$B$47*Assumptions!$B$46/12,0)</f>
        <v>23333.333333333332</v>
      </c>
      <c r="AF60" s="12">
        <f>IF(AF6&gt;=Assumptions!$B$48,Assumptions!$B$45*Assumptions!$B$44/12+Assumptions!$B$47*Assumptions!$B$46/12,0)</f>
        <v>23333.333333333332</v>
      </c>
      <c r="AG60" s="12">
        <f>IF(AG6&gt;=Assumptions!$B$48,Assumptions!$B$45*Assumptions!$B$44/12+Assumptions!$B$47*Assumptions!$B$46/12,0)</f>
        <v>23333.333333333332</v>
      </c>
      <c r="AH60" s="12">
        <f>IF(AH6&gt;=Assumptions!$B$48,Assumptions!$B$45*Assumptions!$B$44/12+Assumptions!$B$47*Assumptions!$B$46/12,0)</f>
        <v>23333.333333333332</v>
      </c>
      <c r="AI60" s="12">
        <f>IF(AI6&gt;=Assumptions!$B$48,Assumptions!$B$45*Assumptions!$B$44/12+Assumptions!$B$47*Assumptions!$B$46/12,0)</f>
        <v>23333.333333333332</v>
      </c>
      <c r="AJ60" s="12">
        <f>IF(AJ6&gt;=Assumptions!$B$48,Assumptions!$B$45*Assumptions!$B$44/12+Assumptions!$B$47*Assumptions!$B$46/12,0)</f>
        <v>23333.333333333332</v>
      </c>
      <c r="AK60" s="12">
        <f>IF(AK6&gt;=Assumptions!$B$48,Assumptions!$B$45*Assumptions!$B$44/12+Assumptions!$B$47*Assumptions!$B$46/12,0)</f>
        <v>23333.333333333332</v>
      </c>
      <c r="AL60" s="12">
        <f>IF(AL6&gt;=Assumptions!$B$48,Assumptions!$B$45*Assumptions!$B$44/12+Assumptions!$B$47*Assumptions!$B$46/12,0)</f>
        <v>23333.333333333332</v>
      </c>
    </row>
    <row r="61" spans="1:38" x14ac:dyDescent="0.25">
      <c r="A61" s="2" t="s">
        <v>338</v>
      </c>
      <c r="C61" s="12">
        <f>IF(C6=Assumptions!$B$48,Assumptions!$B$49,0)</f>
        <v>0</v>
      </c>
      <c r="D61" s="12">
        <f>IF(D6=Assumptions!$B$48,Assumptions!$B$49,0)</f>
        <v>0</v>
      </c>
      <c r="E61" s="12">
        <f>IF(E6=Assumptions!$B$48,Assumptions!$B$49,0)</f>
        <v>0</v>
      </c>
      <c r="F61" s="12">
        <f>IF(F6=Assumptions!$B$48,Assumptions!$B$49,0)</f>
        <v>0</v>
      </c>
      <c r="G61" s="12">
        <f>IF(G6=Assumptions!$B$48,Assumptions!$B$49,0)</f>
        <v>0</v>
      </c>
      <c r="H61" s="12">
        <f>IF(H6=Assumptions!$B$48,Assumptions!$B$49,0)</f>
        <v>0</v>
      </c>
      <c r="I61" s="12">
        <f>IF(I6=Assumptions!$B$48,Assumptions!$B$49,0)</f>
        <v>0</v>
      </c>
      <c r="J61" s="12">
        <f>IF(J6=Assumptions!$B$48,Assumptions!$B$49,0)</f>
        <v>0</v>
      </c>
      <c r="K61" s="12">
        <f>IF(K6=Assumptions!$B$48,Assumptions!$B$49,0)</f>
        <v>0</v>
      </c>
      <c r="L61" s="12">
        <f>IF(L6=Assumptions!$B$48,Assumptions!$B$49,0)</f>
        <v>0</v>
      </c>
      <c r="M61" s="12">
        <f>IF(M6=Assumptions!$B$48,Assumptions!$B$49,0)</f>
        <v>0</v>
      </c>
      <c r="N61" s="12">
        <f>IF(N6=Assumptions!$B$48,Assumptions!$B$49,0)</f>
        <v>0</v>
      </c>
      <c r="O61" s="12">
        <f>IF(O6=Assumptions!$B$48,Assumptions!$B$49,0)</f>
        <v>0</v>
      </c>
      <c r="P61" s="12">
        <f>IF(P6=Assumptions!$B$48,Assumptions!$B$49,0)</f>
        <v>0</v>
      </c>
      <c r="Q61" s="12">
        <f>IF(Q6=Assumptions!$B$48,Assumptions!$B$49,0)</f>
        <v>0</v>
      </c>
      <c r="R61" s="12">
        <f>IF(R6=Assumptions!$B$48,Assumptions!$B$49,0)</f>
        <v>0</v>
      </c>
      <c r="S61" s="12">
        <f>IF(S6=Assumptions!$B$48,Assumptions!$B$49,0)</f>
        <v>0</v>
      </c>
      <c r="T61" s="12">
        <f>IF(T6=Assumptions!$B$48,Assumptions!$B$49,0)</f>
        <v>0</v>
      </c>
      <c r="U61" s="12">
        <f>IF(U6=Assumptions!$B$48,Assumptions!$B$49,0)</f>
        <v>0</v>
      </c>
      <c r="V61" s="12">
        <f>IF(V6=Assumptions!$B$48,Assumptions!$B$49,0)</f>
        <v>0</v>
      </c>
      <c r="W61" s="12">
        <f>IF(W6=Assumptions!$B$48,Assumptions!$B$49,0)</f>
        <v>0</v>
      </c>
      <c r="X61" s="12">
        <f>IF(X6=Assumptions!$B$48,Assumptions!$B$49,0)</f>
        <v>0</v>
      </c>
      <c r="Y61" s="12">
        <f>IF(Y6=Assumptions!$B$48,Assumptions!$B$49,0)</f>
        <v>0</v>
      </c>
      <c r="Z61" s="12">
        <f>IF(Z6=Assumptions!$B$48,Assumptions!$B$49,0)</f>
        <v>0</v>
      </c>
      <c r="AA61" s="12">
        <f>IF(AA6=Assumptions!$B$48,Assumptions!$B$49,0)</f>
        <v>0</v>
      </c>
      <c r="AB61" s="12">
        <f>IF(AB6=Assumptions!$B$48,Assumptions!$B$49,0)</f>
        <v>0</v>
      </c>
      <c r="AC61" s="12">
        <f>IF(AC6=Assumptions!$B$48,Assumptions!$B$49,0)</f>
        <v>0</v>
      </c>
      <c r="AD61" s="12">
        <f>IF(AD6=Assumptions!$B$48,Assumptions!$B$49,0)</f>
        <v>0</v>
      </c>
      <c r="AE61" s="12">
        <f>IF(AE6=Assumptions!$B$48,Assumptions!$B$49,0)</f>
        <v>0</v>
      </c>
      <c r="AF61" s="12">
        <f>IF(AF6=Assumptions!$B$48,Assumptions!$B$49,0)</f>
        <v>0</v>
      </c>
      <c r="AG61" s="12">
        <f>IF(AG6=Assumptions!$B$48,Assumptions!$B$49,0)</f>
        <v>0</v>
      </c>
      <c r="AH61" s="12">
        <f>IF(AH6=Assumptions!$B$48,Assumptions!$B$49,0)</f>
        <v>0</v>
      </c>
      <c r="AI61" s="12">
        <f>IF(AI6=Assumptions!$B$48,Assumptions!$B$49,0)</f>
        <v>0</v>
      </c>
      <c r="AJ61" s="12">
        <f>IF(AJ6=Assumptions!$B$48,Assumptions!$B$49,0)</f>
        <v>0</v>
      </c>
      <c r="AK61" s="12">
        <f>IF(AK6=Assumptions!$B$48,Assumptions!$B$49,0)</f>
        <v>0</v>
      </c>
      <c r="AL61" s="12">
        <f>IF(AL6=Assumptions!$B$48,Assumptions!$B$49,0)</f>
        <v>0</v>
      </c>
    </row>
    <row r="62" spans="1:38" x14ac:dyDescent="0.25">
      <c r="A62" s="2" t="s">
        <v>339</v>
      </c>
      <c r="C62" s="38">
        <f>IF(C6&lt;Assumptions!$B$50,0,MAX(1,ROUNDUP(MAX(0,C12-Assumptions!$B$51)/Assumptions!$B$52,0)))</f>
        <v>0</v>
      </c>
      <c r="D62" s="38">
        <f>IF(D6&lt;Assumptions!$B$50,0,MAX(1,ROUNDUP(MAX(0,D12-Assumptions!$B$51)/Assumptions!$B$52,0)))</f>
        <v>0</v>
      </c>
      <c r="E62" s="38">
        <f>IF(E6&lt;Assumptions!$B$50,0,MAX(1,ROUNDUP(MAX(0,E12-Assumptions!$B$51)/Assumptions!$B$52,0)))</f>
        <v>0</v>
      </c>
      <c r="F62" s="38">
        <f>IF(F6&lt;Assumptions!$B$50,0,MAX(1,ROUNDUP(MAX(0,F12-Assumptions!$B$51)/Assumptions!$B$52,0)))</f>
        <v>0</v>
      </c>
      <c r="G62" s="38">
        <f>IF(G6&lt;Assumptions!$B$50,0,MAX(1,ROUNDUP(MAX(0,G12-Assumptions!$B$51)/Assumptions!$B$52,0)))</f>
        <v>0</v>
      </c>
      <c r="H62" s="38">
        <f>IF(H6&lt;Assumptions!$B$50,0,MAX(1,ROUNDUP(MAX(0,H12-Assumptions!$B$51)/Assumptions!$B$52,0)))</f>
        <v>0</v>
      </c>
      <c r="I62" s="38">
        <f>IF(I6&lt;Assumptions!$B$50,0,MAX(1,ROUNDUP(MAX(0,I12-Assumptions!$B$51)/Assumptions!$B$52,0)))</f>
        <v>0</v>
      </c>
      <c r="J62" s="38">
        <f>IF(J6&lt;Assumptions!$B$50,0,MAX(1,ROUNDUP(MAX(0,J12-Assumptions!$B$51)/Assumptions!$B$52,0)))</f>
        <v>0</v>
      </c>
      <c r="K62" s="38">
        <f>IF(K6&lt;Assumptions!$B$50,0,MAX(1,ROUNDUP(MAX(0,K12-Assumptions!$B$51)/Assumptions!$B$52,0)))</f>
        <v>1</v>
      </c>
      <c r="L62" s="38">
        <f>IF(L6&lt;Assumptions!$B$50,0,MAX(1,ROUNDUP(MAX(0,L12-Assumptions!$B$51)/Assumptions!$B$52,0)))</f>
        <v>1</v>
      </c>
      <c r="M62" s="38">
        <f>IF(M6&lt;Assumptions!$B$50,0,MAX(1,ROUNDUP(MAX(0,M12-Assumptions!$B$51)/Assumptions!$B$52,0)))</f>
        <v>1</v>
      </c>
      <c r="N62" s="38">
        <f>IF(N6&lt;Assumptions!$B$50,0,MAX(1,ROUNDUP(MAX(0,N12-Assumptions!$B$51)/Assumptions!$B$52,0)))</f>
        <v>1</v>
      </c>
      <c r="O62" s="38">
        <f>IF(O6&lt;Assumptions!$B$50,0,MAX(1,ROUNDUP(MAX(0,O12-Assumptions!$B$51)/Assumptions!$B$52,0)))</f>
        <v>2</v>
      </c>
      <c r="P62" s="38">
        <f>IF(P6&lt;Assumptions!$B$50,0,MAX(1,ROUNDUP(MAX(0,P12-Assumptions!$B$51)/Assumptions!$B$52,0)))</f>
        <v>2</v>
      </c>
      <c r="Q62" s="38">
        <f>IF(Q6&lt;Assumptions!$B$50,0,MAX(1,ROUNDUP(MAX(0,Q12-Assumptions!$B$51)/Assumptions!$B$52,0)))</f>
        <v>2</v>
      </c>
      <c r="R62" s="38">
        <f>IF(R6&lt;Assumptions!$B$50,0,MAX(1,ROUNDUP(MAX(0,R12-Assumptions!$B$51)/Assumptions!$B$52,0)))</f>
        <v>2</v>
      </c>
      <c r="S62" s="38">
        <f>IF(S6&lt;Assumptions!$B$50,0,MAX(1,ROUNDUP(MAX(0,S12-Assumptions!$B$51)/Assumptions!$B$52,0)))</f>
        <v>2</v>
      </c>
      <c r="T62" s="38">
        <f>IF(T6&lt;Assumptions!$B$50,0,MAX(1,ROUNDUP(MAX(0,T12-Assumptions!$B$51)/Assumptions!$B$52,0)))</f>
        <v>2</v>
      </c>
      <c r="U62" s="38">
        <f>IF(U6&lt;Assumptions!$B$50,0,MAX(1,ROUNDUP(MAX(0,U12-Assumptions!$B$51)/Assumptions!$B$52,0)))</f>
        <v>2</v>
      </c>
      <c r="V62" s="38">
        <f>IF(V6&lt;Assumptions!$B$50,0,MAX(1,ROUNDUP(MAX(0,V12-Assumptions!$B$51)/Assumptions!$B$52,0)))</f>
        <v>2</v>
      </c>
      <c r="W62" s="38">
        <f>IF(W6&lt;Assumptions!$B$50,0,MAX(1,ROUNDUP(MAX(0,W12-Assumptions!$B$51)/Assumptions!$B$52,0)))</f>
        <v>2</v>
      </c>
      <c r="X62" s="38">
        <f>IF(X6&lt;Assumptions!$B$50,0,MAX(1,ROUNDUP(MAX(0,X12-Assumptions!$B$51)/Assumptions!$B$52,0)))</f>
        <v>2</v>
      </c>
      <c r="Y62" s="38">
        <f>IF(Y6&lt;Assumptions!$B$50,0,MAX(1,ROUNDUP(MAX(0,Y12-Assumptions!$B$51)/Assumptions!$B$52,0)))</f>
        <v>2</v>
      </c>
      <c r="Z62" s="38">
        <f>IF(Z6&lt;Assumptions!$B$50,0,MAX(1,ROUNDUP(MAX(0,Z12-Assumptions!$B$51)/Assumptions!$B$52,0)))</f>
        <v>2</v>
      </c>
      <c r="AA62" s="38">
        <f>IF(AA6&lt;Assumptions!$B$50,0,MAX(1,ROUNDUP(MAX(0,AA12-Assumptions!$B$51)/Assumptions!$B$52,0)))</f>
        <v>3</v>
      </c>
      <c r="AB62" s="38">
        <f>IF(AB6&lt;Assumptions!$B$50,0,MAX(1,ROUNDUP(MAX(0,AB12-Assumptions!$B$51)/Assumptions!$B$52,0)))</f>
        <v>3</v>
      </c>
      <c r="AC62" s="38">
        <f>IF(AC6&lt;Assumptions!$B$50,0,MAX(1,ROUNDUP(MAX(0,AC12-Assumptions!$B$51)/Assumptions!$B$52,0)))</f>
        <v>3</v>
      </c>
      <c r="AD62" s="38">
        <f>IF(AD6&lt;Assumptions!$B$50,0,MAX(1,ROUNDUP(MAX(0,AD12-Assumptions!$B$51)/Assumptions!$B$52,0)))</f>
        <v>3</v>
      </c>
      <c r="AE62" s="38">
        <f>IF(AE6&lt;Assumptions!$B$50,0,MAX(1,ROUNDUP(MAX(0,AE12-Assumptions!$B$51)/Assumptions!$B$52,0)))</f>
        <v>3</v>
      </c>
      <c r="AF62" s="38">
        <f>IF(AF6&lt;Assumptions!$B$50,0,MAX(1,ROUNDUP(MAX(0,AF12-Assumptions!$B$51)/Assumptions!$B$52,0)))</f>
        <v>3</v>
      </c>
      <c r="AG62" s="38">
        <f>IF(AG6&lt;Assumptions!$B$50,0,MAX(1,ROUNDUP(MAX(0,AG12-Assumptions!$B$51)/Assumptions!$B$52,0)))</f>
        <v>3</v>
      </c>
      <c r="AH62" s="38">
        <f>IF(AH6&lt;Assumptions!$B$50,0,MAX(1,ROUNDUP(MAX(0,AH12-Assumptions!$B$51)/Assumptions!$B$52,0)))</f>
        <v>3</v>
      </c>
      <c r="AI62" s="38">
        <f>IF(AI6&lt;Assumptions!$B$50,0,MAX(1,ROUNDUP(MAX(0,AI12-Assumptions!$B$51)/Assumptions!$B$52,0)))</f>
        <v>3</v>
      </c>
      <c r="AJ62" s="38">
        <f>IF(AJ6&lt;Assumptions!$B$50,0,MAX(1,ROUNDUP(MAX(0,AJ12-Assumptions!$B$51)/Assumptions!$B$52,0)))</f>
        <v>3</v>
      </c>
      <c r="AK62" s="38">
        <f>IF(AK6&lt;Assumptions!$B$50,0,MAX(1,ROUNDUP(MAX(0,AK12-Assumptions!$B$51)/Assumptions!$B$52,0)))</f>
        <v>3</v>
      </c>
      <c r="AL62" s="38">
        <f>IF(AL6&lt;Assumptions!$B$50,0,MAX(1,ROUNDUP(MAX(0,AL12-Assumptions!$B$51)/Assumptions!$B$52,0)))</f>
        <v>3</v>
      </c>
    </row>
    <row r="63" spans="1:38" x14ac:dyDescent="0.25">
      <c r="A63" s="2" t="s">
        <v>340</v>
      </c>
      <c r="C63" s="15">
        <f>Assumptions!$B$51+C62*Assumptions!$B$52-C12</f>
        <v>2</v>
      </c>
      <c r="D63" s="15">
        <f>Assumptions!$B$51+D62*Assumptions!$B$52-D12</f>
        <v>3</v>
      </c>
      <c r="E63" s="15">
        <f>Assumptions!$B$51+E62*Assumptions!$B$52-E12</f>
        <v>2</v>
      </c>
      <c r="F63" s="15">
        <f>Assumptions!$B$51+F62*Assumptions!$B$52-F12</f>
        <v>3</v>
      </c>
      <c r="G63" s="15">
        <f>Assumptions!$B$51+G62*Assumptions!$B$52-G12</f>
        <v>2</v>
      </c>
      <c r="H63" s="15">
        <f>Assumptions!$B$51+H62*Assumptions!$B$52-H12</f>
        <v>3</v>
      </c>
      <c r="I63" s="15">
        <f>Assumptions!$B$51+I62*Assumptions!$B$52-I12</f>
        <v>2</v>
      </c>
      <c r="J63" s="15">
        <f>Assumptions!$B$51+J62*Assumptions!$B$52-J12</f>
        <v>3</v>
      </c>
      <c r="K63" s="15">
        <f>Assumptions!$B$51+K62*Assumptions!$B$52-K12</f>
        <v>17</v>
      </c>
      <c r="L63" s="15">
        <f>Assumptions!$B$51+L62*Assumptions!$B$52-L12</f>
        <v>18</v>
      </c>
      <c r="M63" s="15">
        <f>Assumptions!$B$51+M62*Assumptions!$B$52-M12</f>
        <v>17</v>
      </c>
      <c r="N63" s="15">
        <f>Assumptions!$B$51+N62*Assumptions!$B$52-N12</f>
        <v>18</v>
      </c>
      <c r="O63" s="15">
        <f>Assumptions!$B$51+O62*Assumptions!$B$52-O12</f>
        <v>9</v>
      </c>
      <c r="P63" s="15">
        <f>Assumptions!$B$51+P62*Assumptions!$B$52-P12</f>
        <v>8</v>
      </c>
      <c r="Q63" s="15">
        <f>Assumptions!$B$51+Q62*Assumptions!$B$52-Q12</f>
        <v>9</v>
      </c>
      <c r="R63" s="15">
        <f>Assumptions!$B$51+R62*Assumptions!$B$52-R12</f>
        <v>8</v>
      </c>
      <c r="S63" s="15">
        <f>Assumptions!$B$51+S62*Assumptions!$B$52-S12</f>
        <v>9</v>
      </c>
      <c r="T63" s="15">
        <f>Assumptions!$B$51+T62*Assumptions!$B$52-T12</f>
        <v>8</v>
      </c>
      <c r="U63" s="15">
        <f>Assumptions!$B$51+U62*Assumptions!$B$52-U12</f>
        <v>9</v>
      </c>
      <c r="V63" s="15">
        <f>Assumptions!$B$51+V62*Assumptions!$B$52-V12</f>
        <v>8</v>
      </c>
      <c r="W63" s="15">
        <f>Assumptions!$B$51+W62*Assumptions!$B$52-W12</f>
        <v>9</v>
      </c>
      <c r="X63" s="15">
        <f>Assumptions!$B$51+X62*Assumptions!$B$52-X12</f>
        <v>8</v>
      </c>
      <c r="Y63" s="15">
        <f>Assumptions!$B$51+Y62*Assumptions!$B$52-Y12</f>
        <v>9</v>
      </c>
      <c r="Z63" s="15">
        <f>Assumptions!$B$51+Z62*Assumptions!$B$52-Z12</f>
        <v>8</v>
      </c>
      <c r="AA63" s="15">
        <f>Assumptions!$B$51+AA62*Assumptions!$B$52-AA12</f>
        <v>5</v>
      </c>
      <c r="AB63" s="15">
        <f>Assumptions!$B$51+AB62*Assumptions!$B$52-AB12</f>
        <v>5</v>
      </c>
      <c r="AC63" s="15">
        <f>Assumptions!$B$51+AC62*Assumptions!$B$52-AC12</f>
        <v>5</v>
      </c>
      <c r="AD63" s="15">
        <f>Assumptions!$B$51+AD62*Assumptions!$B$52-AD12</f>
        <v>5</v>
      </c>
      <c r="AE63" s="15">
        <f>Assumptions!$B$51+AE62*Assumptions!$B$52-AE12</f>
        <v>4</v>
      </c>
      <c r="AF63" s="15">
        <f>Assumptions!$B$51+AF62*Assumptions!$B$52-AF12</f>
        <v>5</v>
      </c>
      <c r="AG63" s="15">
        <f>Assumptions!$B$51+AG62*Assumptions!$B$52-AG12</f>
        <v>5</v>
      </c>
      <c r="AH63" s="15">
        <f>Assumptions!$B$51+AH62*Assumptions!$B$52-AH12</f>
        <v>5</v>
      </c>
      <c r="AI63" s="15">
        <f>Assumptions!$B$51+AI62*Assumptions!$B$52-AI12</f>
        <v>5</v>
      </c>
      <c r="AJ63" s="15">
        <f>Assumptions!$B$51+AJ62*Assumptions!$B$52-AJ12</f>
        <v>4</v>
      </c>
      <c r="AK63" s="15">
        <f>Assumptions!$B$51+AK62*Assumptions!$B$52-AK12</f>
        <v>5</v>
      </c>
      <c r="AL63" s="15">
        <f>Assumptions!$B$51+AL62*Assumptions!$B$52-AL12</f>
        <v>5</v>
      </c>
    </row>
    <row r="64" spans="1:38" x14ac:dyDescent="0.25">
      <c r="A64" s="2" t="s">
        <v>341</v>
      </c>
      <c r="C64" s="12">
        <f>C62*Assumptions!$B$53/12</f>
        <v>0</v>
      </c>
      <c r="D64" s="12">
        <f>D62*Assumptions!$B$53/12</f>
        <v>0</v>
      </c>
      <c r="E64" s="12">
        <f>E62*Assumptions!$B$53/12</f>
        <v>0</v>
      </c>
      <c r="F64" s="12">
        <f>F62*Assumptions!$B$53/12</f>
        <v>0</v>
      </c>
      <c r="G64" s="12">
        <f>G62*Assumptions!$B$53/12</f>
        <v>0</v>
      </c>
      <c r="H64" s="12">
        <f>H62*Assumptions!$B$53/12</f>
        <v>0</v>
      </c>
      <c r="I64" s="12">
        <f>I62*Assumptions!$B$53/12</f>
        <v>0</v>
      </c>
      <c r="J64" s="12">
        <f>J62*Assumptions!$B$53/12</f>
        <v>0</v>
      </c>
      <c r="K64" s="12">
        <f>K62*Assumptions!$B$53/12</f>
        <v>4583.333333333333</v>
      </c>
      <c r="L64" s="12">
        <f>L62*Assumptions!$B$53/12</f>
        <v>4583.333333333333</v>
      </c>
      <c r="M64" s="12">
        <f>M62*Assumptions!$B$53/12</f>
        <v>4583.333333333333</v>
      </c>
      <c r="N64" s="12">
        <f>N62*Assumptions!$B$53/12</f>
        <v>4583.333333333333</v>
      </c>
      <c r="O64" s="12">
        <f>O62*Assumptions!$B$53/12</f>
        <v>9166.6666666666661</v>
      </c>
      <c r="P64" s="12">
        <f>P62*Assumptions!$B$53/12</f>
        <v>9166.6666666666661</v>
      </c>
      <c r="Q64" s="12">
        <f>Q62*Assumptions!$B$53/12</f>
        <v>9166.6666666666661</v>
      </c>
      <c r="R64" s="12">
        <f>R62*Assumptions!$B$53/12</f>
        <v>9166.6666666666661</v>
      </c>
      <c r="S64" s="12">
        <f>S62*Assumptions!$B$53/12</f>
        <v>9166.6666666666661</v>
      </c>
      <c r="T64" s="12">
        <f>T62*Assumptions!$B$53/12</f>
        <v>9166.6666666666661</v>
      </c>
      <c r="U64" s="12">
        <f>U62*Assumptions!$B$53/12</f>
        <v>9166.6666666666661</v>
      </c>
      <c r="V64" s="12">
        <f>V62*Assumptions!$B$53/12</f>
        <v>9166.6666666666661</v>
      </c>
      <c r="W64" s="12">
        <f>W62*Assumptions!$B$53/12</f>
        <v>9166.6666666666661</v>
      </c>
      <c r="X64" s="12">
        <f>X62*Assumptions!$B$53/12</f>
        <v>9166.6666666666661</v>
      </c>
      <c r="Y64" s="12">
        <f>Y62*Assumptions!$B$53/12</f>
        <v>9166.6666666666661</v>
      </c>
      <c r="Z64" s="12">
        <f>Z62*Assumptions!$B$53/12</f>
        <v>9166.6666666666661</v>
      </c>
      <c r="AA64" s="12">
        <f>AA62*Assumptions!$B$53/12</f>
        <v>13750</v>
      </c>
      <c r="AB64" s="12">
        <f>AB62*Assumptions!$B$53/12</f>
        <v>13750</v>
      </c>
      <c r="AC64" s="12">
        <f>AC62*Assumptions!$B$53/12</f>
        <v>13750</v>
      </c>
      <c r="AD64" s="12">
        <f>AD62*Assumptions!$B$53/12</f>
        <v>13750</v>
      </c>
      <c r="AE64" s="12">
        <f>AE62*Assumptions!$B$53/12</f>
        <v>13750</v>
      </c>
      <c r="AF64" s="12">
        <f>AF62*Assumptions!$B$53/12</f>
        <v>13750</v>
      </c>
      <c r="AG64" s="12">
        <f>AG62*Assumptions!$B$53/12</f>
        <v>13750</v>
      </c>
      <c r="AH64" s="12">
        <f>AH62*Assumptions!$B$53/12</f>
        <v>13750</v>
      </c>
      <c r="AI64" s="12">
        <f>AI62*Assumptions!$B$53/12</f>
        <v>13750</v>
      </c>
      <c r="AJ64" s="12">
        <f>AJ62*Assumptions!$B$53/12</f>
        <v>13750</v>
      </c>
      <c r="AK64" s="12">
        <f>AK62*Assumptions!$B$53/12</f>
        <v>13750</v>
      </c>
      <c r="AL64" s="12">
        <f>AL62*Assumptions!$B$53/12</f>
        <v>13750</v>
      </c>
    </row>
    <row r="65" spans="1:38" x14ac:dyDescent="0.25">
      <c r="A65" s="2" t="s">
        <v>202</v>
      </c>
      <c r="C65" s="12">
        <f ca="1">Assumptions!$B$54*(C30*Assumptions!$B$30+C32*Assumptions!$B$31+C45*Assumptions!$B$32+C46*Assumptions!$B$34)</f>
        <v>0</v>
      </c>
      <c r="D65" s="12">
        <f ca="1">Assumptions!$B$54*(D30*Assumptions!$B$30+D32*Assumptions!$B$31+D45*Assumptions!$B$32+D46*Assumptions!$B$34)</f>
        <v>2000</v>
      </c>
      <c r="E65" s="12">
        <f ca="1">Assumptions!$B$54*(E30*Assumptions!$B$30+E32*Assumptions!$B$31+E45*Assumptions!$B$32+E46*Assumptions!$B$34)</f>
        <v>11000</v>
      </c>
      <c r="F65" s="12">
        <f ca="1">Assumptions!$B$54*(F30*Assumptions!$B$30+F32*Assumptions!$B$31+F45*Assumptions!$B$32+F46*Assumptions!$B$34)</f>
        <v>4500</v>
      </c>
      <c r="G65" s="12">
        <f ca="1">Assumptions!$B$54*(G30*Assumptions!$B$30+G32*Assumptions!$B$31+G45*Assumptions!$B$32+G46*Assumptions!$B$34)</f>
        <v>2000</v>
      </c>
      <c r="H65" s="12">
        <f ca="1">Assumptions!$B$54*(H30*Assumptions!$B$30+H32*Assumptions!$B$31+H45*Assumptions!$B$32+H46*Assumptions!$B$34)</f>
        <v>0</v>
      </c>
      <c r="I65" s="12">
        <f ca="1">Assumptions!$B$54*(I30*Assumptions!$B$30+I32*Assumptions!$B$31+I45*Assumptions!$B$32+I46*Assumptions!$B$34)</f>
        <v>2000</v>
      </c>
      <c r="J65" s="12">
        <f ca="1">Assumptions!$B$54*(J30*Assumptions!$B$30+J32*Assumptions!$B$31+J45*Assumptions!$B$32+J46*Assumptions!$B$34)</f>
        <v>2000</v>
      </c>
      <c r="K65" s="12">
        <f ca="1">Assumptions!$B$54*(K30*Assumptions!$B$30+K32*Assumptions!$B$31+K45*Assumptions!$B$32+K46*Assumptions!$B$34)</f>
        <v>4500</v>
      </c>
      <c r="L65" s="12">
        <f ca="1">Assumptions!$B$54*(L30*Assumptions!$B$30+L32*Assumptions!$B$31+L45*Assumptions!$B$32+L46*Assumptions!$B$34)</f>
        <v>0</v>
      </c>
      <c r="M65" s="12">
        <f ca="1">Assumptions!$B$54*(M30*Assumptions!$B$30+M32*Assumptions!$B$31+M45*Assumptions!$B$32+M46*Assumptions!$B$34)</f>
        <v>0</v>
      </c>
      <c r="N65" s="12">
        <f ca="1">Assumptions!$B$54*(N30*Assumptions!$B$30+N32*Assumptions!$B$31+N45*Assumptions!$B$32+N46*Assumptions!$B$34)</f>
        <v>6500</v>
      </c>
      <c r="O65" s="12">
        <f ca="1">Assumptions!$B$54*(O30*Assumptions!$B$30+O32*Assumptions!$B$31+O45*Assumptions!$B$32+O46*Assumptions!$B$34)</f>
        <v>2000</v>
      </c>
      <c r="P65" s="12">
        <f ca="1">Assumptions!$B$54*(P30*Assumptions!$B$30+P32*Assumptions!$B$31+P45*Assumptions!$B$32+P46*Assumptions!$B$34)</f>
        <v>2000</v>
      </c>
      <c r="Q65" s="12">
        <f ca="1">Assumptions!$B$54*(Q30*Assumptions!$B$30+Q32*Assumptions!$B$31+Q45*Assumptions!$B$32+Q46*Assumptions!$B$34)</f>
        <v>2000</v>
      </c>
      <c r="R65" s="12">
        <f ca="1">Assumptions!$B$54*(R30*Assumptions!$B$30+R32*Assumptions!$B$31+R45*Assumptions!$B$32+R46*Assumptions!$B$34)</f>
        <v>6500</v>
      </c>
      <c r="S65" s="12">
        <f ca="1">Assumptions!$B$54*(S30*Assumptions!$B$30+S32*Assumptions!$B$31+S45*Assumptions!$B$32+S46*Assumptions!$B$34)</f>
        <v>6500</v>
      </c>
      <c r="T65" s="12">
        <f ca="1">Assumptions!$B$54*(T30*Assumptions!$B$30+T32*Assumptions!$B$31+T45*Assumptions!$B$32+T46*Assumptions!$B$34)</f>
        <v>16000</v>
      </c>
      <c r="U65" s="12">
        <f ca="1">Assumptions!$B$54*(U30*Assumptions!$B$30+U32*Assumptions!$B$31+U45*Assumptions!$B$32+U46*Assumptions!$B$34)</f>
        <v>11000</v>
      </c>
      <c r="V65" s="12">
        <f ca="1">Assumptions!$B$54*(V30*Assumptions!$B$30+V32*Assumptions!$B$31+V45*Assumptions!$B$32+V46*Assumptions!$B$34)</f>
        <v>4000</v>
      </c>
      <c r="W65" s="12">
        <f ca="1">Assumptions!$B$54*(W30*Assumptions!$B$30+W32*Assumptions!$B$31+W45*Assumptions!$B$32+W46*Assumptions!$B$34)</f>
        <v>6500</v>
      </c>
      <c r="X65" s="12">
        <f ca="1">Assumptions!$B$54*(X30*Assumptions!$B$30+X32*Assumptions!$B$31+X45*Assumptions!$B$32+X46*Assumptions!$B$34)</f>
        <v>6500</v>
      </c>
      <c r="Y65" s="12">
        <f ca="1">Assumptions!$B$54*(Y30*Assumptions!$B$30+Y32*Assumptions!$B$31+Y45*Assumptions!$B$32+Y46*Assumptions!$B$34)</f>
        <v>8500</v>
      </c>
      <c r="Z65" s="12">
        <f ca="1">Assumptions!$B$54*(Z30*Assumptions!$B$30+Z32*Assumptions!$B$31+Z45*Assumptions!$B$32+Z46*Assumptions!$B$34)</f>
        <v>6500</v>
      </c>
      <c r="AA65" s="12">
        <f ca="1">Assumptions!$B$54*(AA30*Assumptions!$B$30+AA32*Assumptions!$B$31+AA45*Assumptions!$B$32+AA46*Assumptions!$B$34)</f>
        <v>4000</v>
      </c>
      <c r="AB65" s="12">
        <f ca="1">Assumptions!$B$54*(AB30*Assumptions!$B$30+AB32*Assumptions!$B$31+AB45*Assumptions!$B$32+AB46*Assumptions!$B$34)</f>
        <v>6500</v>
      </c>
      <c r="AC65" s="12">
        <f ca="1">Assumptions!$B$54*(AC30*Assumptions!$B$30+AC32*Assumptions!$B$31+AC45*Assumptions!$B$32+AC46*Assumptions!$B$34)</f>
        <v>13000</v>
      </c>
      <c r="AD65" s="12">
        <f ca="1">Assumptions!$B$54*(AD30*Assumptions!$B$30+AD32*Assumptions!$B$31+AD45*Assumptions!$B$32+AD46*Assumptions!$B$34)</f>
        <v>8500</v>
      </c>
      <c r="AE65" s="12">
        <f ca="1">Assumptions!$B$54*(AE30*Assumptions!$B$30+AE32*Assumptions!$B$31+AE45*Assumptions!$B$32+AE46*Assumptions!$B$34)</f>
        <v>8500</v>
      </c>
      <c r="AF65" s="12">
        <f ca="1">Assumptions!$B$54*(AF30*Assumptions!$B$30+AF32*Assumptions!$B$31+AF45*Assumptions!$B$32+AF46*Assumptions!$B$34)</f>
        <v>28500</v>
      </c>
      <c r="AG65" s="12">
        <f ca="1">Assumptions!$B$54*(AG30*Assumptions!$B$30+AG32*Assumptions!$B$31+AG45*Assumptions!$B$32+AG46*Assumptions!$B$34)</f>
        <v>6500</v>
      </c>
      <c r="AH65" s="12">
        <f ca="1">Assumptions!$B$54*(AH30*Assumptions!$B$30+AH32*Assumptions!$B$31+AH45*Assumptions!$B$32+AH46*Assumptions!$B$34)</f>
        <v>10500</v>
      </c>
      <c r="AI65" s="12">
        <f ca="1">Assumptions!$B$54*(AI30*Assumptions!$B$30+AI32*Assumptions!$B$31+AI45*Assumptions!$B$32+AI46*Assumptions!$B$34)</f>
        <v>13000</v>
      </c>
      <c r="AJ65" s="12">
        <f ca="1">Assumptions!$B$54*(AJ30*Assumptions!$B$30+AJ32*Assumptions!$B$31+AJ45*Assumptions!$B$32+AJ46*Assumptions!$B$34)</f>
        <v>8500</v>
      </c>
      <c r="AK65" s="12">
        <f ca="1">Assumptions!$B$54*(AK30*Assumptions!$B$30+AK32*Assumptions!$B$31+AK45*Assumptions!$B$32+AK46*Assumptions!$B$34)</f>
        <v>8500</v>
      </c>
      <c r="AL65" s="12">
        <f ca="1">Assumptions!$B$54*(AL30*Assumptions!$B$30+AL32*Assumptions!$B$31+AL45*Assumptions!$B$32+AL46*Assumptions!$B$34)</f>
        <v>8500</v>
      </c>
    </row>
    <row r="66" spans="1:38" x14ac:dyDescent="0.25">
      <c r="A66" s="2" t="s">
        <v>342</v>
      </c>
      <c r="C66" s="38">
        <f ca="1">IF(C42&gt;=Assumptions!$B$55,MAX(1,ROUNDUP((C42+(C43+C44)*Assumptions!$B$58+C38*Assumptions!$B$57)/Assumptions!$B$56,0)),0)</f>
        <v>0</v>
      </c>
      <c r="D66" s="38">
        <f ca="1">IF(D42&gt;=Assumptions!$B$55,MAX(1,ROUNDUP((D42+(D43+D44)*Assumptions!$B$58+D38*Assumptions!$B$57)/Assumptions!$B$56,0)),0)</f>
        <v>0</v>
      </c>
      <c r="E66" s="38">
        <f ca="1">IF(E42&gt;=Assumptions!$B$55,MAX(1,ROUNDUP((E42+(E43+E44)*Assumptions!$B$58+E38*Assumptions!$B$57)/Assumptions!$B$56,0)),0)</f>
        <v>0</v>
      </c>
      <c r="F66" s="38">
        <f ca="1">IF(F42&gt;=Assumptions!$B$55,MAX(1,ROUNDUP((F42+(F43+F44)*Assumptions!$B$58+F38*Assumptions!$B$57)/Assumptions!$B$56,0)),0)</f>
        <v>0</v>
      </c>
      <c r="G66" s="38">
        <f ca="1">IF(G42&gt;=Assumptions!$B$55,MAX(1,ROUNDUP((G42+(G43+G44)*Assumptions!$B$58+G38*Assumptions!$B$57)/Assumptions!$B$56,0)),0)</f>
        <v>0</v>
      </c>
      <c r="H66" s="38">
        <f ca="1">IF(H42&gt;=Assumptions!$B$55,MAX(1,ROUNDUP((H42+(H43+H44)*Assumptions!$B$58+H38*Assumptions!$B$57)/Assumptions!$B$56,0)),0)</f>
        <v>0</v>
      </c>
      <c r="I66" s="38">
        <f ca="1">IF(I42&gt;=Assumptions!$B$55,MAX(1,ROUNDUP((I42+(I43+I44)*Assumptions!$B$58+I38*Assumptions!$B$57)/Assumptions!$B$56,0)),0)</f>
        <v>0</v>
      </c>
      <c r="J66" s="38">
        <f ca="1">IF(J42&gt;=Assumptions!$B$55,MAX(1,ROUNDUP((J42+(J43+J44)*Assumptions!$B$58+J38*Assumptions!$B$57)/Assumptions!$B$56,0)),0)</f>
        <v>0</v>
      </c>
      <c r="K66" s="38">
        <f ca="1">IF(K42&gt;=Assumptions!$B$55,MAX(1,ROUNDUP((K42+(K43+K44)*Assumptions!$B$58+K38*Assumptions!$B$57)/Assumptions!$B$56,0)),0)</f>
        <v>0</v>
      </c>
      <c r="L66" s="38">
        <f ca="1">IF(L42&gt;=Assumptions!$B$55,MAX(1,ROUNDUP((L42+(L43+L44)*Assumptions!$B$58+L38*Assumptions!$B$57)/Assumptions!$B$56,0)),0)</f>
        <v>0</v>
      </c>
      <c r="M66" s="38">
        <f ca="1">IF(M42&gt;=Assumptions!$B$55,MAX(1,ROUNDUP((M42+(M43+M44)*Assumptions!$B$58+M38*Assumptions!$B$57)/Assumptions!$B$56,0)),0)</f>
        <v>0</v>
      </c>
      <c r="N66" s="38">
        <f ca="1">IF(N42&gt;=Assumptions!$B$55,MAX(1,ROUNDUP((N42+(N43+N44)*Assumptions!$B$58+N38*Assumptions!$B$57)/Assumptions!$B$56,0)),0)</f>
        <v>0</v>
      </c>
      <c r="O66" s="38">
        <f ca="1">IF(O42&gt;=Assumptions!$B$55,MAX(1,ROUNDUP((O42+(O43+O44)*Assumptions!$B$58+O38*Assumptions!$B$57)/Assumptions!$B$56,0)),0)</f>
        <v>0</v>
      </c>
      <c r="P66" s="38">
        <f ca="1">IF(P42&gt;=Assumptions!$B$55,MAX(1,ROUNDUP((P42+(P43+P44)*Assumptions!$B$58+P38*Assumptions!$B$57)/Assumptions!$B$56,0)),0)</f>
        <v>0</v>
      </c>
      <c r="Q66" s="38">
        <f ca="1">IF(Q42&gt;=Assumptions!$B$55,MAX(1,ROUNDUP((Q42+(Q43+Q44)*Assumptions!$B$58+Q38*Assumptions!$B$57)/Assumptions!$B$56,0)),0)</f>
        <v>0</v>
      </c>
      <c r="R66" s="38">
        <f ca="1">IF(R42&gt;=Assumptions!$B$55,MAX(1,ROUNDUP((R42+(R43+R44)*Assumptions!$B$58+R38*Assumptions!$B$57)/Assumptions!$B$56,0)),0)</f>
        <v>0</v>
      </c>
      <c r="S66" s="38">
        <f ca="1">IF(S42&gt;=Assumptions!$B$55,MAX(1,ROUNDUP((S42+(S43+S44)*Assumptions!$B$58+S38*Assumptions!$B$57)/Assumptions!$B$56,0)),0)</f>
        <v>0</v>
      </c>
      <c r="T66" s="38">
        <f ca="1">IF(T42&gt;=Assumptions!$B$55,MAX(1,ROUNDUP((T42+(T43+T44)*Assumptions!$B$58+T38*Assumptions!$B$57)/Assumptions!$B$56,0)),0)</f>
        <v>0</v>
      </c>
      <c r="U66" s="38">
        <f ca="1">IF(U42&gt;=Assumptions!$B$55,MAX(1,ROUNDUP((U42+(U43+U44)*Assumptions!$B$58+U38*Assumptions!$B$57)/Assumptions!$B$56,0)),0)</f>
        <v>0</v>
      </c>
      <c r="V66" s="38">
        <f ca="1">IF(V42&gt;=Assumptions!$B$55,MAX(1,ROUNDUP((V42+(V43+V44)*Assumptions!$B$58+V38*Assumptions!$B$57)/Assumptions!$B$56,0)),0)</f>
        <v>0</v>
      </c>
      <c r="W66" s="38">
        <f ca="1">IF(W42&gt;=Assumptions!$B$55,MAX(1,ROUNDUP((W42+(W43+W44)*Assumptions!$B$58+W38*Assumptions!$B$57)/Assumptions!$B$56,0)),0)</f>
        <v>2</v>
      </c>
      <c r="X66" s="38">
        <f ca="1">IF(X42&gt;=Assumptions!$B$55,MAX(1,ROUNDUP((X42+(X43+X44)*Assumptions!$B$58+X38*Assumptions!$B$57)/Assumptions!$B$56,0)),0)</f>
        <v>2</v>
      </c>
      <c r="Y66" s="38">
        <f ca="1">IF(Y42&gt;=Assumptions!$B$55,MAX(1,ROUNDUP((Y42+(Y43+Y44)*Assumptions!$B$58+Y38*Assumptions!$B$57)/Assumptions!$B$56,0)),0)</f>
        <v>2</v>
      </c>
      <c r="Z66" s="38">
        <f ca="1">IF(Z42&gt;=Assumptions!$B$55,MAX(1,ROUNDUP((Z42+(Z43+Z44)*Assumptions!$B$58+Z38*Assumptions!$B$57)/Assumptions!$B$56,0)),0)</f>
        <v>2</v>
      </c>
      <c r="AA66" s="38">
        <f ca="1">IF(AA42&gt;=Assumptions!$B$55,MAX(1,ROUNDUP((AA42+(AA43+AA44)*Assumptions!$B$58+AA38*Assumptions!$B$57)/Assumptions!$B$56,0)),0)</f>
        <v>2</v>
      </c>
      <c r="AB66" s="38">
        <f ca="1">IF(AB42&gt;=Assumptions!$B$55,MAX(1,ROUNDUP((AB42+(AB43+AB44)*Assumptions!$B$58+AB38*Assumptions!$B$57)/Assumptions!$B$56,0)),0)</f>
        <v>2</v>
      </c>
      <c r="AC66" s="38">
        <f ca="1">IF(AC42&gt;=Assumptions!$B$55,MAX(1,ROUNDUP((AC42+(AC43+AC44)*Assumptions!$B$58+AC38*Assumptions!$B$57)/Assumptions!$B$56,0)),0)</f>
        <v>2</v>
      </c>
      <c r="AD66" s="38">
        <f ca="1">IF(AD42&gt;=Assumptions!$B$55,MAX(1,ROUNDUP((AD42+(AD43+AD44)*Assumptions!$B$58+AD38*Assumptions!$B$57)/Assumptions!$B$56,0)),0)</f>
        <v>2</v>
      </c>
      <c r="AE66" s="38">
        <f ca="1">IF(AE42&gt;=Assumptions!$B$55,MAX(1,ROUNDUP((AE42+(AE43+AE44)*Assumptions!$B$58+AE38*Assumptions!$B$57)/Assumptions!$B$56,0)),0)</f>
        <v>2</v>
      </c>
      <c r="AF66" s="38">
        <f ca="1">IF(AF42&gt;=Assumptions!$B$55,MAX(1,ROUNDUP((AF42+(AF43+AF44)*Assumptions!$B$58+AF38*Assumptions!$B$57)/Assumptions!$B$56,0)),0)</f>
        <v>3</v>
      </c>
      <c r="AG66" s="38">
        <f ca="1">IF(AG42&gt;=Assumptions!$B$55,MAX(1,ROUNDUP((AG42+(AG43+AG44)*Assumptions!$B$58+AG38*Assumptions!$B$57)/Assumptions!$B$56,0)),0)</f>
        <v>3</v>
      </c>
      <c r="AH66" s="38">
        <f ca="1">IF(AH42&gt;=Assumptions!$B$55,MAX(1,ROUNDUP((AH42+(AH43+AH44)*Assumptions!$B$58+AH38*Assumptions!$B$57)/Assumptions!$B$56,0)),0)</f>
        <v>3</v>
      </c>
      <c r="AI66" s="38">
        <f ca="1">IF(AI42&gt;=Assumptions!$B$55,MAX(1,ROUNDUP((AI42+(AI43+AI44)*Assumptions!$B$58+AI38*Assumptions!$B$57)/Assumptions!$B$56,0)),0)</f>
        <v>3</v>
      </c>
      <c r="AJ66" s="38">
        <f ca="1">IF(AJ42&gt;=Assumptions!$B$55,MAX(1,ROUNDUP((AJ42+(AJ43+AJ44)*Assumptions!$B$58+AJ38*Assumptions!$B$57)/Assumptions!$B$56,0)),0)</f>
        <v>3</v>
      </c>
      <c r="AK66" s="38">
        <f ca="1">IF(AK42&gt;=Assumptions!$B$55,MAX(1,ROUNDUP((AK42+(AK43+AK44)*Assumptions!$B$58+AK38*Assumptions!$B$57)/Assumptions!$B$56,0)),0)</f>
        <v>3</v>
      </c>
      <c r="AL66" s="38">
        <f ca="1">IF(AL42&gt;=Assumptions!$B$55,MAX(1,ROUNDUP((AL42+(AL43+AL44)*Assumptions!$B$58+AL38*Assumptions!$B$57)/Assumptions!$B$56,0)),0)</f>
        <v>3</v>
      </c>
    </row>
    <row r="67" spans="1:38" x14ac:dyDescent="0.25">
      <c r="A67" s="2" t="s">
        <v>343</v>
      </c>
      <c r="C67" s="12">
        <f ca="1">C66*Assumptions!$B$59/12</f>
        <v>0</v>
      </c>
      <c r="D67" s="12">
        <f ca="1">D66*Assumptions!$B$59/12</f>
        <v>0</v>
      </c>
      <c r="E67" s="12">
        <f ca="1">E66*Assumptions!$B$59/12</f>
        <v>0</v>
      </c>
      <c r="F67" s="12">
        <f ca="1">F66*Assumptions!$B$59/12</f>
        <v>0</v>
      </c>
      <c r="G67" s="12">
        <f ca="1">G66*Assumptions!$B$59/12</f>
        <v>0</v>
      </c>
      <c r="H67" s="12">
        <f ca="1">H66*Assumptions!$B$59/12</f>
        <v>0</v>
      </c>
      <c r="I67" s="12">
        <f ca="1">I66*Assumptions!$B$59/12</f>
        <v>0</v>
      </c>
      <c r="J67" s="12">
        <f ca="1">J66*Assumptions!$B$59/12</f>
        <v>0</v>
      </c>
      <c r="K67" s="12">
        <f ca="1">K66*Assumptions!$B$59/12</f>
        <v>0</v>
      </c>
      <c r="L67" s="12">
        <f ca="1">L66*Assumptions!$B$59/12</f>
        <v>0</v>
      </c>
      <c r="M67" s="12">
        <f ca="1">M66*Assumptions!$B$59/12</f>
        <v>0</v>
      </c>
      <c r="N67" s="12">
        <f ca="1">N66*Assumptions!$B$59/12</f>
        <v>0</v>
      </c>
      <c r="O67" s="12">
        <f ca="1">O66*Assumptions!$B$59/12</f>
        <v>0</v>
      </c>
      <c r="P67" s="12">
        <f ca="1">P66*Assumptions!$B$59/12</f>
        <v>0</v>
      </c>
      <c r="Q67" s="12">
        <f ca="1">Q66*Assumptions!$B$59/12</f>
        <v>0</v>
      </c>
      <c r="R67" s="12">
        <f ca="1">R66*Assumptions!$B$59/12</f>
        <v>0</v>
      </c>
      <c r="S67" s="12">
        <f ca="1">S66*Assumptions!$B$59/12</f>
        <v>0</v>
      </c>
      <c r="T67" s="12">
        <f ca="1">T66*Assumptions!$B$59/12</f>
        <v>0</v>
      </c>
      <c r="U67" s="12">
        <f ca="1">U66*Assumptions!$B$59/12</f>
        <v>0</v>
      </c>
      <c r="V67" s="12">
        <f ca="1">V66*Assumptions!$B$59/12</f>
        <v>0</v>
      </c>
      <c r="W67" s="12">
        <f ca="1">W66*Assumptions!$B$59/12</f>
        <v>10000</v>
      </c>
      <c r="X67" s="12">
        <f ca="1">X66*Assumptions!$B$59/12</f>
        <v>10000</v>
      </c>
      <c r="Y67" s="12">
        <f ca="1">Y66*Assumptions!$B$59/12</f>
        <v>10000</v>
      </c>
      <c r="Z67" s="12">
        <f ca="1">Z66*Assumptions!$B$59/12</f>
        <v>10000</v>
      </c>
      <c r="AA67" s="12">
        <f ca="1">AA66*Assumptions!$B$59/12</f>
        <v>10000</v>
      </c>
      <c r="AB67" s="12">
        <f ca="1">AB66*Assumptions!$B$59/12</f>
        <v>10000</v>
      </c>
      <c r="AC67" s="12">
        <f ca="1">AC66*Assumptions!$B$59/12</f>
        <v>10000</v>
      </c>
      <c r="AD67" s="12">
        <f ca="1">AD66*Assumptions!$B$59/12</f>
        <v>10000</v>
      </c>
      <c r="AE67" s="12">
        <f ca="1">AE66*Assumptions!$B$59/12</f>
        <v>10000</v>
      </c>
      <c r="AF67" s="12">
        <f ca="1">AF66*Assumptions!$B$59/12</f>
        <v>15000</v>
      </c>
      <c r="AG67" s="12">
        <f ca="1">AG66*Assumptions!$B$59/12</f>
        <v>15000</v>
      </c>
      <c r="AH67" s="12">
        <f ca="1">AH66*Assumptions!$B$59/12</f>
        <v>15000</v>
      </c>
      <c r="AI67" s="12">
        <f ca="1">AI66*Assumptions!$B$59/12</f>
        <v>15000</v>
      </c>
      <c r="AJ67" s="12">
        <f ca="1">AJ66*Assumptions!$B$59/12</f>
        <v>15000</v>
      </c>
      <c r="AK67" s="12">
        <f ca="1">AK66*Assumptions!$B$59/12</f>
        <v>15000</v>
      </c>
      <c r="AL67" s="12">
        <f ca="1">AL66*Assumptions!$B$59/12</f>
        <v>15000</v>
      </c>
    </row>
    <row r="68" spans="1:38" x14ac:dyDescent="0.25">
      <c r="A68" s="2" t="s">
        <v>344</v>
      </c>
      <c r="C68" s="12">
        <f ca="1">MAX(0,Assumptions!$B$62*(IF(C6&gt;=Assumptions!$B$48,1,0)*(Assumptions!$B$45*MAX(0,Assumptions!$B$44/12-Assumptions!$B$63/12)+Assumptions!$B$47*MAX(0,Assumptions!$B$46/12-Assumptions!$B$63/12))+C62*MAX(0,Assumptions!$B$53/12-Assumptions!$B$63/12)+C66*MAX(0,Assumptions!$B$59/12-Assumptions!$B$63/12))-Assumptions!$B$64/12)</f>
        <v>2374.9999999999995</v>
      </c>
      <c r="D68" s="12">
        <f ca="1">MAX(0,Assumptions!$B$62*(IF(D6&gt;=Assumptions!$B$48,1,0)*(Assumptions!$B$45*MAX(0,Assumptions!$B$44/12-Assumptions!$B$63/12)+Assumptions!$B$47*MAX(0,Assumptions!$B$46/12-Assumptions!$B$63/12))+D62*MAX(0,Assumptions!$B$53/12-Assumptions!$B$63/12)+D66*MAX(0,Assumptions!$B$59/12-Assumptions!$B$63/12))-Assumptions!$B$64/12)</f>
        <v>2374.9999999999995</v>
      </c>
      <c r="E68" s="12">
        <f ca="1">MAX(0,Assumptions!$B$62*(IF(E6&gt;=Assumptions!$B$48,1,0)*(Assumptions!$B$45*MAX(0,Assumptions!$B$44/12-Assumptions!$B$63/12)+Assumptions!$B$47*MAX(0,Assumptions!$B$46/12-Assumptions!$B$63/12))+E62*MAX(0,Assumptions!$B$53/12-Assumptions!$B$63/12)+E66*MAX(0,Assumptions!$B$59/12-Assumptions!$B$63/12))-Assumptions!$B$64/12)</f>
        <v>2374.9999999999995</v>
      </c>
      <c r="F68" s="12">
        <f ca="1">MAX(0,Assumptions!$B$62*(IF(F6&gt;=Assumptions!$B$48,1,0)*(Assumptions!$B$45*MAX(0,Assumptions!$B$44/12-Assumptions!$B$63/12)+Assumptions!$B$47*MAX(0,Assumptions!$B$46/12-Assumptions!$B$63/12))+F62*MAX(0,Assumptions!$B$53/12-Assumptions!$B$63/12)+F66*MAX(0,Assumptions!$B$59/12-Assumptions!$B$63/12))-Assumptions!$B$64/12)</f>
        <v>2374.9999999999995</v>
      </c>
      <c r="G68" s="12">
        <f ca="1">MAX(0,Assumptions!$B$62*(IF(G6&gt;=Assumptions!$B$48,1,0)*(Assumptions!$B$45*MAX(0,Assumptions!$B$44/12-Assumptions!$B$63/12)+Assumptions!$B$47*MAX(0,Assumptions!$B$46/12-Assumptions!$B$63/12))+G62*MAX(0,Assumptions!$B$53/12-Assumptions!$B$63/12)+G66*MAX(0,Assumptions!$B$59/12-Assumptions!$B$63/12))-Assumptions!$B$64/12)</f>
        <v>2374.9999999999995</v>
      </c>
      <c r="H68" s="12">
        <f ca="1">MAX(0,Assumptions!$B$62*(IF(H6&gt;=Assumptions!$B$48,1,0)*(Assumptions!$B$45*MAX(0,Assumptions!$B$44/12-Assumptions!$B$63/12)+Assumptions!$B$47*MAX(0,Assumptions!$B$46/12-Assumptions!$B$63/12))+H62*MAX(0,Assumptions!$B$53/12-Assumptions!$B$63/12)+H66*MAX(0,Assumptions!$B$59/12-Assumptions!$B$63/12))-Assumptions!$B$64/12)</f>
        <v>2374.9999999999995</v>
      </c>
      <c r="I68" s="12">
        <f ca="1">MAX(0,Assumptions!$B$62*(IF(I6&gt;=Assumptions!$B$48,1,0)*(Assumptions!$B$45*MAX(0,Assumptions!$B$44/12-Assumptions!$B$63/12)+Assumptions!$B$47*MAX(0,Assumptions!$B$46/12-Assumptions!$B$63/12))+I62*MAX(0,Assumptions!$B$53/12-Assumptions!$B$63/12)+I66*MAX(0,Assumptions!$B$59/12-Assumptions!$B$63/12))-Assumptions!$B$64/12)</f>
        <v>2374.9999999999995</v>
      </c>
      <c r="J68" s="12">
        <f ca="1">MAX(0,Assumptions!$B$62*(IF(J6&gt;=Assumptions!$B$48,1,0)*(Assumptions!$B$45*MAX(0,Assumptions!$B$44/12-Assumptions!$B$63/12)+Assumptions!$B$47*MAX(0,Assumptions!$B$46/12-Assumptions!$B$63/12))+J62*MAX(0,Assumptions!$B$53/12-Assumptions!$B$63/12)+J66*MAX(0,Assumptions!$B$59/12-Assumptions!$B$63/12))-Assumptions!$B$64/12)</f>
        <v>2374.9999999999995</v>
      </c>
      <c r="K68" s="12">
        <f ca="1">MAX(0,Assumptions!$B$62*(IF(K6&gt;=Assumptions!$B$48,1,0)*(Assumptions!$B$45*MAX(0,Assumptions!$B$44/12-Assumptions!$B$63/12)+Assumptions!$B$47*MAX(0,Assumptions!$B$46/12-Assumptions!$B$63/12))+K62*MAX(0,Assumptions!$B$53/12-Assumptions!$B$63/12)+K66*MAX(0,Assumptions!$B$59/12-Assumptions!$B$63/12))-Assumptions!$B$64/12)</f>
        <v>2999.9999999999991</v>
      </c>
      <c r="L68" s="12">
        <f ca="1">MAX(0,Assumptions!$B$62*(IF(L6&gt;=Assumptions!$B$48,1,0)*(Assumptions!$B$45*MAX(0,Assumptions!$B$44/12-Assumptions!$B$63/12)+Assumptions!$B$47*MAX(0,Assumptions!$B$46/12-Assumptions!$B$63/12))+L62*MAX(0,Assumptions!$B$53/12-Assumptions!$B$63/12)+L66*MAX(0,Assumptions!$B$59/12-Assumptions!$B$63/12))-Assumptions!$B$64/12)</f>
        <v>2999.9999999999991</v>
      </c>
      <c r="M68" s="12">
        <f ca="1">MAX(0,Assumptions!$B$62*(IF(M6&gt;=Assumptions!$B$48,1,0)*(Assumptions!$B$45*MAX(0,Assumptions!$B$44/12-Assumptions!$B$63/12)+Assumptions!$B$47*MAX(0,Assumptions!$B$46/12-Assumptions!$B$63/12))+M62*MAX(0,Assumptions!$B$53/12-Assumptions!$B$63/12)+M66*MAX(0,Assumptions!$B$59/12-Assumptions!$B$63/12))-Assumptions!$B$64/12)</f>
        <v>2999.9999999999991</v>
      </c>
      <c r="N68" s="12">
        <f ca="1">MAX(0,Assumptions!$B$62*(IF(N6&gt;=Assumptions!$B$48,1,0)*(Assumptions!$B$45*MAX(0,Assumptions!$B$44/12-Assumptions!$B$63/12)+Assumptions!$B$47*MAX(0,Assumptions!$B$46/12-Assumptions!$B$63/12))+N62*MAX(0,Assumptions!$B$53/12-Assumptions!$B$63/12)+N66*MAX(0,Assumptions!$B$59/12-Assumptions!$B$63/12))-Assumptions!$B$64/12)</f>
        <v>2999.9999999999991</v>
      </c>
      <c r="O68" s="12">
        <f ca="1">MAX(0,Assumptions!$B$62*(IF(O6&gt;=Assumptions!$B$48,1,0)*(Assumptions!$B$45*MAX(0,Assumptions!$B$44/12-Assumptions!$B$63/12)+Assumptions!$B$47*MAX(0,Assumptions!$B$46/12-Assumptions!$B$63/12))+O62*MAX(0,Assumptions!$B$53/12-Assumptions!$B$63/12)+O66*MAX(0,Assumptions!$B$59/12-Assumptions!$B$63/12))-Assumptions!$B$64/12)</f>
        <v>3624.9999999999991</v>
      </c>
      <c r="P68" s="12">
        <f ca="1">MAX(0,Assumptions!$B$62*(IF(P6&gt;=Assumptions!$B$48,1,0)*(Assumptions!$B$45*MAX(0,Assumptions!$B$44/12-Assumptions!$B$63/12)+Assumptions!$B$47*MAX(0,Assumptions!$B$46/12-Assumptions!$B$63/12))+P62*MAX(0,Assumptions!$B$53/12-Assumptions!$B$63/12)+P66*MAX(0,Assumptions!$B$59/12-Assumptions!$B$63/12))-Assumptions!$B$64/12)</f>
        <v>3624.9999999999991</v>
      </c>
      <c r="Q68" s="12">
        <f ca="1">MAX(0,Assumptions!$B$62*(IF(Q6&gt;=Assumptions!$B$48,1,0)*(Assumptions!$B$45*MAX(0,Assumptions!$B$44/12-Assumptions!$B$63/12)+Assumptions!$B$47*MAX(0,Assumptions!$B$46/12-Assumptions!$B$63/12))+Q62*MAX(0,Assumptions!$B$53/12-Assumptions!$B$63/12)+Q66*MAX(0,Assumptions!$B$59/12-Assumptions!$B$63/12))-Assumptions!$B$64/12)</f>
        <v>3624.9999999999991</v>
      </c>
      <c r="R68" s="12">
        <f ca="1">MAX(0,Assumptions!$B$62*(IF(R6&gt;=Assumptions!$B$48,1,0)*(Assumptions!$B$45*MAX(0,Assumptions!$B$44/12-Assumptions!$B$63/12)+Assumptions!$B$47*MAX(0,Assumptions!$B$46/12-Assumptions!$B$63/12))+R62*MAX(0,Assumptions!$B$53/12-Assumptions!$B$63/12)+R66*MAX(0,Assumptions!$B$59/12-Assumptions!$B$63/12))-Assumptions!$B$64/12)</f>
        <v>3624.9999999999991</v>
      </c>
      <c r="S68" s="12">
        <f ca="1">MAX(0,Assumptions!$B$62*(IF(S6&gt;=Assumptions!$B$48,1,0)*(Assumptions!$B$45*MAX(0,Assumptions!$B$44/12-Assumptions!$B$63/12)+Assumptions!$B$47*MAX(0,Assumptions!$B$46/12-Assumptions!$B$63/12))+S62*MAX(0,Assumptions!$B$53/12-Assumptions!$B$63/12)+S66*MAX(0,Assumptions!$B$59/12-Assumptions!$B$63/12))-Assumptions!$B$64/12)</f>
        <v>3624.9999999999991</v>
      </c>
      <c r="T68" s="12">
        <f ca="1">MAX(0,Assumptions!$B$62*(IF(T6&gt;=Assumptions!$B$48,1,0)*(Assumptions!$B$45*MAX(0,Assumptions!$B$44/12-Assumptions!$B$63/12)+Assumptions!$B$47*MAX(0,Assumptions!$B$46/12-Assumptions!$B$63/12))+T62*MAX(0,Assumptions!$B$53/12-Assumptions!$B$63/12)+T66*MAX(0,Assumptions!$B$59/12-Assumptions!$B$63/12))-Assumptions!$B$64/12)</f>
        <v>3624.9999999999991</v>
      </c>
      <c r="U68" s="12">
        <f ca="1">MAX(0,Assumptions!$B$62*(IF(U6&gt;=Assumptions!$B$48,1,0)*(Assumptions!$B$45*MAX(0,Assumptions!$B$44/12-Assumptions!$B$63/12)+Assumptions!$B$47*MAX(0,Assumptions!$B$46/12-Assumptions!$B$63/12))+U62*MAX(0,Assumptions!$B$53/12-Assumptions!$B$63/12)+U66*MAX(0,Assumptions!$B$59/12-Assumptions!$B$63/12))-Assumptions!$B$64/12)</f>
        <v>3624.9999999999991</v>
      </c>
      <c r="V68" s="12">
        <f ca="1">MAX(0,Assumptions!$B$62*(IF(V6&gt;=Assumptions!$B$48,1,0)*(Assumptions!$B$45*MAX(0,Assumptions!$B$44/12-Assumptions!$B$63/12)+Assumptions!$B$47*MAX(0,Assumptions!$B$46/12-Assumptions!$B$63/12))+V62*MAX(0,Assumptions!$B$53/12-Assumptions!$B$63/12)+V66*MAX(0,Assumptions!$B$59/12-Assumptions!$B$63/12))-Assumptions!$B$64/12)</f>
        <v>3624.9999999999991</v>
      </c>
      <c r="W68" s="12">
        <f ca="1">MAX(0,Assumptions!$B$62*(IF(W6&gt;=Assumptions!$B$48,1,0)*(Assumptions!$B$45*MAX(0,Assumptions!$B$44/12-Assumptions!$B$63/12)+Assumptions!$B$47*MAX(0,Assumptions!$B$46/12-Assumptions!$B$63/12))+W62*MAX(0,Assumptions!$B$53/12-Assumptions!$B$63/12)+W66*MAX(0,Assumptions!$B$59/12-Assumptions!$B$63/12))-Assumptions!$B$64/12)</f>
        <v>4999.9999999999991</v>
      </c>
      <c r="X68" s="12">
        <f ca="1">MAX(0,Assumptions!$B$62*(IF(X6&gt;=Assumptions!$B$48,1,0)*(Assumptions!$B$45*MAX(0,Assumptions!$B$44/12-Assumptions!$B$63/12)+Assumptions!$B$47*MAX(0,Assumptions!$B$46/12-Assumptions!$B$63/12))+X62*MAX(0,Assumptions!$B$53/12-Assumptions!$B$63/12)+X66*MAX(0,Assumptions!$B$59/12-Assumptions!$B$63/12))-Assumptions!$B$64/12)</f>
        <v>4999.9999999999991</v>
      </c>
      <c r="Y68" s="12">
        <f ca="1">MAX(0,Assumptions!$B$62*(IF(Y6&gt;=Assumptions!$B$48,1,0)*(Assumptions!$B$45*MAX(0,Assumptions!$B$44/12-Assumptions!$B$63/12)+Assumptions!$B$47*MAX(0,Assumptions!$B$46/12-Assumptions!$B$63/12))+Y62*MAX(0,Assumptions!$B$53/12-Assumptions!$B$63/12)+Y66*MAX(0,Assumptions!$B$59/12-Assumptions!$B$63/12))-Assumptions!$B$64/12)</f>
        <v>4999.9999999999991</v>
      </c>
      <c r="Z68" s="12">
        <f ca="1">MAX(0,Assumptions!$B$62*(IF(Z6&gt;=Assumptions!$B$48,1,0)*(Assumptions!$B$45*MAX(0,Assumptions!$B$44/12-Assumptions!$B$63/12)+Assumptions!$B$47*MAX(0,Assumptions!$B$46/12-Assumptions!$B$63/12))+Z62*MAX(0,Assumptions!$B$53/12-Assumptions!$B$63/12)+Z66*MAX(0,Assumptions!$B$59/12-Assumptions!$B$63/12))-Assumptions!$B$64/12)</f>
        <v>4999.9999999999991</v>
      </c>
      <c r="AA68" s="12">
        <f ca="1">MAX(0,Assumptions!$B$62*(IF(AA6&gt;=Assumptions!$B$48,1,0)*(Assumptions!$B$45*MAX(0,Assumptions!$B$44/12-Assumptions!$B$63/12)+Assumptions!$B$47*MAX(0,Assumptions!$B$46/12-Assumptions!$B$63/12))+AA62*MAX(0,Assumptions!$B$53/12-Assumptions!$B$63/12)+AA66*MAX(0,Assumptions!$B$59/12-Assumptions!$B$63/12))-Assumptions!$B$64/12)</f>
        <v>5624.9999999999991</v>
      </c>
      <c r="AB68" s="12">
        <f ca="1">MAX(0,Assumptions!$B$62*(IF(AB6&gt;=Assumptions!$B$48,1,0)*(Assumptions!$B$45*MAX(0,Assumptions!$B$44/12-Assumptions!$B$63/12)+Assumptions!$B$47*MAX(0,Assumptions!$B$46/12-Assumptions!$B$63/12))+AB62*MAX(0,Assumptions!$B$53/12-Assumptions!$B$63/12)+AB66*MAX(0,Assumptions!$B$59/12-Assumptions!$B$63/12))-Assumptions!$B$64/12)</f>
        <v>5624.9999999999991</v>
      </c>
      <c r="AC68" s="12">
        <f ca="1">MAX(0,Assumptions!$B$62*(IF(AC6&gt;=Assumptions!$B$48,1,0)*(Assumptions!$B$45*MAX(0,Assumptions!$B$44/12-Assumptions!$B$63/12)+Assumptions!$B$47*MAX(0,Assumptions!$B$46/12-Assumptions!$B$63/12))+AC62*MAX(0,Assumptions!$B$53/12-Assumptions!$B$63/12)+AC66*MAX(0,Assumptions!$B$59/12-Assumptions!$B$63/12))-Assumptions!$B$64/12)</f>
        <v>5624.9999999999991</v>
      </c>
      <c r="AD68" s="12">
        <f ca="1">MAX(0,Assumptions!$B$62*(IF(AD6&gt;=Assumptions!$B$48,1,0)*(Assumptions!$B$45*MAX(0,Assumptions!$B$44/12-Assumptions!$B$63/12)+Assumptions!$B$47*MAX(0,Assumptions!$B$46/12-Assumptions!$B$63/12))+AD62*MAX(0,Assumptions!$B$53/12-Assumptions!$B$63/12)+AD66*MAX(0,Assumptions!$B$59/12-Assumptions!$B$63/12))-Assumptions!$B$64/12)</f>
        <v>5624.9999999999991</v>
      </c>
      <c r="AE68" s="12">
        <f ca="1">MAX(0,Assumptions!$B$62*(IF(AE6&gt;=Assumptions!$B$48,1,0)*(Assumptions!$B$45*MAX(0,Assumptions!$B$44/12-Assumptions!$B$63/12)+Assumptions!$B$47*MAX(0,Assumptions!$B$46/12-Assumptions!$B$63/12))+AE62*MAX(0,Assumptions!$B$53/12-Assumptions!$B$63/12)+AE66*MAX(0,Assumptions!$B$59/12-Assumptions!$B$63/12))-Assumptions!$B$64/12)</f>
        <v>5624.9999999999991</v>
      </c>
      <c r="AF68" s="12">
        <f ca="1">MAX(0,Assumptions!$B$62*(IF(AF6&gt;=Assumptions!$B$48,1,0)*(Assumptions!$B$45*MAX(0,Assumptions!$B$44/12-Assumptions!$B$63/12)+Assumptions!$B$47*MAX(0,Assumptions!$B$46/12-Assumptions!$B$63/12))+AF62*MAX(0,Assumptions!$B$53/12-Assumptions!$B$63/12)+AF66*MAX(0,Assumptions!$B$59/12-Assumptions!$B$63/12))-Assumptions!$B$64/12)</f>
        <v>6312.4999999999991</v>
      </c>
      <c r="AG68" s="12">
        <f ca="1">MAX(0,Assumptions!$B$62*(IF(AG6&gt;=Assumptions!$B$48,1,0)*(Assumptions!$B$45*MAX(0,Assumptions!$B$44/12-Assumptions!$B$63/12)+Assumptions!$B$47*MAX(0,Assumptions!$B$46/12-Assumptions!$B$63/12))+AG62*MAX(0,Assumptions!$B$53/12-Assumptions!$B$63/12)+AG66*MAX(0,Assumptions!$B$59/12-Assumptions!$B$63/12))-Assumptions!$B$64/12)</f>
        <v>6312.4999999999991</v>
      </c>
      <c r="AH68" s="12">
        <f ca="1">MAX(0,Assumptions!$B$62*(IF(AH6&gt;=Assumptions!$B$48,1,0)*(Assumptions!$B$45*MAX(0,Assumptions!$B$44/12-Assumptions!$B$63/12)+Assumptions!$B$47*MAX(0,Assumptions!$B$46/12-Assumptions!$B$63/12))+AH62*MAX(0,Assumptions!$B$53/12-Assumptions!$B$63/12)+AH66*MAX(0,Assumptions!$B$59/12-Assumptions!$B$63/12))-Assumptions!$B$64/12)</f>
        <v>6312.4999999999991</v>
      </c>
      <c r="AI68" s="12">
        <f ca="1">MAX(0,Assumptions!$B$62*(IF(AI6&gt;=Assumptions!$B$48,1,0)*(Assumptions!$B$45*MAX(0,Assumptions!$B$44/12-Assumptions!$B$63/12)+Assumptions!$B$47*MAX(0,Assumptions!$B$46/12-Assumptions!$B$63/12))+AI62*MAX(0,Assumptions!$B$53/12-Assumptions!$B$63/12)+AI66*MAX(0,Assumptions!$B$59/12-Assumptions!$B$63/12))-Assumptions!$B$64/12)</f>
        <v>6312.4999999999991</v>
      </c>
      <c r="AJ68" s="12">
        <f ca="1">MAX(0,Assumptions!$B$62*(IF(AJ6&gt;=Assumptions!$B$48,1,0)*(Assumptions!$B$45*MAX(0,Assumptions!$B$44/12-Assumptions!$B$63/12)+Assumptions!$B$47*MAX(0,Assumptions!$B$46/12-Assumptions!$B$63/12))+AJ62*MAX(0,Assumptions!$B$53/12-Assumptions!$B$63/12)+AJ66*MAX(0,Assumptions!$B$59/12-Assumptions!$B$63/12))-Assumptions!$B$64/12)</f>
        <v>6312.4999999999991</v>
      </c>
      <c r="AK68" s="12">
        <f ca="1">MAX(0,Assumptions!$B$62*(IF(AK6&gt;=Assumptions!$B$48,1,0)*(Assumptions!$B$45*MAX(0,Assumptions!$B$44/12-Assumptions!$B$63/12)+Assumptions!$B$47*MAX(0,Assumptions!$B$46/12-Assumptions!$B$63/12))+AK62*MAX(0,Assumptions!$B$53/12-Assumptions!$B$63/12)+AK66*MAX(0,Assumptions!$B$59/12-Assumptions!$B$63/12))-Assumptions!$B$64/12)</f>
        <v>6312.4999999999991</v>
      </c>
      <c r="AL68" s="12">
        <f ca="1">MAX(0,Assumptions!$B$62*(IF(AL6&gt;=Assumptions!$B$48,1,0)*(Assumptions!$B$45*MAX(0,Assumptions!$B$44/12-Assumptions!$B$63/12)+Assumptions!$B$47*MAX(0,Assumptions!$B$46/12-Assumptions!$B$63/12))+AL62*MAX(0,Assumptions!$B$53/12-Assumptions!$B$63/12)+AL66*MAX(0,Assumptions!$B$59/12-Assumptions!$B$63/12))-Assumptions!$B$64/12)</f>
        <v>6312.4999999999991</v>
      </c>
    </row>
    <row r="69" spans="1:38" x14ac:dyDescent="0.25">
      <c r="A69" s="2" t="s">
        <v>345</v>
      </c>
      <c r="C69" s="12">
        <f ca="1">Assumptions!$B$65*(C60+C64+C67)</f>
        <v>699.99999999999989</v>
      </c>
      <c r="D69" s="12">
        <f ca="1">Assumptions!$B$65*(D60+D64+D67)</f>
        <v>699.99999999999989</v>
      </c>
      <c r="E69" s="12">
        <f ca="1">Assumptions!$B$65*(E60+E64+E67)</f>
        <v>699.99999999999989</v>
      </c>
      <c r="F69" s="12">
        <f ca="1">Assumptions!$B$65*(F60+F64+F67)</f>
        <v>699.99999999999989</v>
      </c>
      <c r="G69" s="12">
        <f ca="1">Assumptions!$B$65*(G60+G64+G67)</f>
        <v>699.99999999999989</v>
      </c>
      <c r="H69" s="12">
        <f ca="1">Assumptions!$B$65*(H60+H64+H67)</f>
        <v>699.99999999999989</v>
      </c>
      <c r="I69" s="12">
        <f ca="1">Assumptions!$B$65*(I60+I64+I67)</f>
        <v>699.99999999999989</v>
      </c>
      <c r="J69" s="12">
        <f ca="1">Assumptions!$B$65*(J60+J64+J67)</f>
        <v>699.99999999999989</v>
      </c>
      <c r="K69" s="12">
        <f ca="1">Assumptions!$B$65*(K60+K64+K67)</f>
        <v>837.49999999999989</v>
      </c>
      <c r="L69" s="12">
        <f ca="1">Assumptions!$B$65*(L60+L64+L67)</f>
        <v>837.49999999999989</v>
      </c>
      <c r="M69" s="12">
        <f ca="1">Assumptions!$B$65*(M60+M64+M67)</f>
        <v>837.49999999999989</v>
      </c>
      <c r="N69" s="12">
        <f ca="1">Assumptions!$B$65*(N60+N64+N67)</f>
        <v>837.49999999999989</v>
      </c>
      <c r="O69" s="12">
        <f ca="1">Assumptions!$B$65*(O60+O64+O67)</f>
        <v>975</v>
      </c>
      <c r="P69" s="12">
        <f ca="1">Assumptions!$B$65*(P60+P64+P67)</f>
        <v>975</v>
      </c>
      <c r="Q69" s="12">
        <f ca="1">Assumptions!$B$65*(Q60+Q64+Q67)</f>
        <v>975</v>
      </c>
      <c r="R69" s="12">
        <f ca="1">Assumptions!$B$65*(R60+R64+R67)</f>
        <v>975</v>
      </c>
      <c r="S69" s="12">
        <f ca="1">Assumptions!$B$65*(S60+S64+S67)</f>
        <v>975</v>
      </c>
      <c r="T69" s="12">
        <f ca="1">Assumptions!$B$65*(T60+T64+T67)</f>
        <v>975</v>
      </c>
      <c r="U69" s="12">
        <f ca="1">Assumptions!$B$65*(U60+U64+U67)</f>
        <v>975</v>
      </c>
      <c r="V69" s="12">
        <f ca="1">Assumptions!$B$65*(V60+V64+V67)</f>
        <v>975</v>
      </c>
      <c r="W69" s="12">
        <f ca="1">Assumptions!$B$65*(W60+W64+W67)</f>
        <v>1275</v>
      </c>
      <c r="X69" s="12">
        <f ca="1">Assumptions!$B$65*(X60+X64+X67)</f>
        <v>1275</v>
      </c>
      <c r="Y69" s="12">
        <f ca="1">Assumptions!$B$65*(Y60+Y64+Y67)</f>
        <v>1275</v>
      </c>
      <c r="Z69" s="12">
        <f ca="1">Assumptions!$B$65*(Z60+Z64+Z67)</f>
        <v>1275</v>
      </c>
      <c r="AA69" s="12">
        <f ca="1">Assumptions!$B$65*(AA60+AA64+AA67)</f>
        <v>1412.4999999999998</v>
      </c>
      <c r="AB69" s="12">
        <f ca="1">Assumptions!$B$65*(AB60+AB64+AB67)</f>
        <v>1412.4999999999998</v>
      </c>
      <c r="AC69" s="12">
        <f ca="1">Assumptions!$B$65*(AC60+AC64+AC67)</f>
        <v>1412.4999999999998</v>
      </c>
      <c r="AD69" s="12">
        <f ca="1">Assumptions!$B$65*(AD60+AD64+AD67)</f>
        <v>1412.4999999999998</v>
      </c>
      <c r="AE69" s="12">
        <f ca="1">Assumptions!$B$65*(AE60+AE64+AE67)</f>
        <v>1412.4999999999998</v>
      </c>
      <c r="AF69" s="12">
        <f ca="1">Assumptions!$B$65*(AF60+AF64+AF67)</f>
        <v>1562.4999999999998</v>
      </c>
      <c r="AG69" s="12">
        <f ca="1">Assumptions!$B$65*(AG60+AG64+AG67)</f>
        <v>1562.4999999999998</v>
      </c>
      <c r="AH69" s="12">
        <f ca="1">Assumptions!$B$65*(AH60+AH64+AH67)</f>
        <v>1562.4999999999998</v>
      </c>
      <c r="AI69" s="12">
        <f ca="1">Assumptions!$B$65*(AI60+AI64+AI67)</f>
        <v>1562.4999999999998</v>
      </c>
      <c r="AJ69" s="12">
        <f ca="1">Assumptions!$B$65*(AJ60+AJ64+AJ67)</f>
        <v>1562.4999999999998</v>
      </c>
      <c r="AK69" s="12">
        <f ca="1">Assumptions!$B$65*(AK60+AK64+AK67)</f>
        <v>1562.4999999999998</v>
      </c>
      <c r="AL69" s="12">
        <f ca="1">Assumptions!$B$65*(AL60+AL64+AL67)</f>
        <v>1562.4999999999998</v>
      </c>
    </row>
    <row r="70" spans="1:38" x14ac:dyDescent="0.25">
      <c r="A70" s="3" t="s">
        <v>346</v>
      </c>
      <c r="C70" s="42">
        <f t="shared" ref="C70:AL70" ca="1" si="28">C60+C61+C64+C65+C67+C68+C69</f>
        <v>26408.333333333332</v>
      </c>
      <c r="D70" s="42">
        <f t="shared" ca="1" si="28"/>
        <v>28408.333333333332</v>
      </c>
      <c r="E70" s="42">
        <f t="shared" ca="1" si="28"/>
        <v>37408.333333333328</v>
      </c>
      <c r="F70" s="42">
        <f t="shared" ca="1" si="28"/>
        <v>30908.333333333332</v>
      </c>
      <c r="G70" s="42">
        <f t="shared" ca="1" si="28"/>
        <v>28408.333333333332</v>
      </c>
      <c r="H70" s="42">
        <f t="shared" ca="1" si="28"/>
        <v>26408.333333333332</v>
      </c>
      <c r="I70" s="42">
        <f t="shared" ca="1" si="28"/>
        <v>28408.333333333332</v>
      </c>
      <c r="J70" s="42">
        <f t="shared" ca="1" si="28"/>
        <v>28408.333333333332</v>
      </c>
      <c r="K70" s="42">
        <f t="shared" ca="1" si="28"/>
        <v>36254.166666666664</v>
      </c>
      <c r="L70" s="42">
        <f t="shared" ca="1" si="28"/>
        <v>31754.166666666664</v>
      </c>
      <c r="M70" s="42">
        <f t="shared" ca="1" si="28"/>
        <v>31754.166666666664</v>
      </c>
      <c r="N70" s="42">
        <f t="shared" ca="1" si="28"/>
        <v>38254.166666666664</v>
      </c>
      <c r="O70" s="42">
        <f t="shared" ca="1" si="28"/>
        <v>39100</v>
      </c>
      <c r="P70" s="42">
        <f t="shared" ca="1" si="28"/>
        <v>39100</v>
      </c>
      <c r="Q70" s="42">
        <f t="shared" ca="1" si="28"/>
        <v>39100</v>
      </c>
      <c r="R70" s="42">
        <f t="shared" ca="1" si="28"/>
        <v>43600</v>
      </c>
      <c r="S70" s="42">
        <f t="shared" ca="1" si="28"/>
        <v>43600</v>
      </c>
      <c r="T70" s="42">
        <f t="shared" ca="1" si="28"/>
        <v>53100</v>
      </c>
      <c r="U70" s="42">
        <f t="shared" ca="1" si="28"/>
        <v>48100</v>
      </c>
      <c r="V70" s="42">
        <f t="shared" ca="1" si="28"/>
        <v>41100</v>
      </c>
      <c r="W70" s="42">
        <f t="shared" ca="1" si="28"/>
        <v>55275</v>
      </c>
      <c r="X70" s="42">
        <f t="shared" ca="1" si="28"/>
        <v>55275</v>
      </c>
      <c r="Y70" s="42">
        <f t="shared" ca="1" si="28"/>
        <v>57275</v>
      </c>
      <c r="Z70" s="42">
        <f t="shared" ca="1" si="28"/>
        <v>55275</v>
      </c>
      <c r="AA70" s="42">
        <f t="shared" ca="1" si="28"/>
        <v>58120.833333333328</v>
      </c>
      <c r="AB70" s="42">
        <f t="shared" ca="1" si="28"/>
        <v>60620.833333333328</v>
      </c>
      <c r="AC70" s="42">
        <f t="shared" ca="1" si="28"/>
        <v>67120.833333333328</v>
      </c>
      <c r="AD70" s="42">
        <f t="shared" ca="1" si="28"/>
        <v>62620.833333333328</v>
      </c>
      <c r="AE70" s="42">
        <f t="shared" ca="1" si="28"/>
        <v>62620.833333333328</v>
      </c>
      <c r="AF70" s="42">
        <f t="shared" ca="1" si="28"/>
        <v>88458.333333333328</v>
      </c>
      <c r="AG70" s="42">
        <f t="shared" ca="1" si="28"/>
        <v>66458.333333333328</v>
      </c>
      <c r="AH70" s="42">
        <f t="shared" ca="1" si="28"/>
        <v>70458.333333333328</v>
      </c>
      <c r="AI70" s="42">
        <f t="shared" ca="1" si="28"/>
        <v>72958.333333333328</v>
      </c>
      <c r="AJ70" s="42">
        <f t="shared" ca="1" si="28"/>
        <v>68458.333333333328</v>
      </c>
      <c r="AK70" s="42">
        <f t="shared" ca="1" si="28"/>
        <v>68458.333333333328</v>
      </c>
      <c r="AL70" s="42">
        <f t="shared" ca="1" si="28"/>
        <v>68458.333333333328</v>
      </c>
    </row>
    <row r="72" spans="1:38" x14ac:dyDescent="0.25">
      <c r="A72" s="5" t="s">
        <v>347</v>
      </c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</row>
    <row r="73" spans="1:38" x14ac:dyDescent="0.25">
      <c r="A73" s="2" t="s">
        <v>348</v>
      </c>
      <c r="C73" s="12">
        <f>C15*Assumptions!$B$68</f>
        <v>2500</v>
      </c>
      <c r="D73" s="12">
        <f>D15*Assumptions!$B$68</f>
        <v>2500</v>
      </c>
      <c r="E73" s="12">
        <f>E15*Assumptions!$B$68</f>
        <v>0</v>
      </c>
      <c r="F73" s="12">
        <f>F15*Assumptions!$B$68</f>
        <v>2500</v>
      </c>
      <c r="G73" s="12">
        <f>G15*Assumptions!$B$68</f>
        <v>2500</v>
      </c>
      <c r="H73" s="12">
        <f>H15*Assumptions!$B$68</f>
        <v>2500</v>
      </c>
      <c r="I73" s="12">
        <f>I15*Assumptions!$B$68</f>
        <v>0</v>
      </c>
      <c r="J73" s="12">
        <f>J15*Assumptions!$B$68</f>
        <v>2500</v>
      </c>
      <c r="K73" s="12">
        <f>K15*Assumptions!$B$68</f>
        <v>2500</v>
      </c>
      <c r="L73" s="12">
        <f>L15*Assumptions!$B$68</f>
        <v>2500</v>
      </c>
      <c r="M73" s="12">
        <f>M15*Assumptions!$B$68</f>
        <v>0</v>
      </c>
      <c r="N73" s="12">
        <f>N15*Assumptions!$B$68</f>
        <v>2500</v>
      </c>
      <c r="O73" s="12">
        <f>O15*Assumptions!$B$68</f>
        <v>5000</v>
      </c>
      <c r="P73" s="12">
        <f>P15*Assumptions!$B$68</f>
        <v>5000</v>
      </c>
      <c r="Q73" s="12">
        <f>Q15*Assumptions!$B$68</f>
        <v>7500</v>
      </c>
      <c r="R73" s="12">
        <f>R15*Assumptions!$B$68</f>
        <v>5000</v>
      </c>
      <c r="S73" s="12">
        <f>S15*Assumptions!$B$68</f>
        <v>5000</v>
      </c>
      <c r="T73" s="12">
        <f>T15*Assumptions!$B$68</f>
        <v>5000</v>
      </c>
      <c r="U73" s="12">
        <f>U15*Assumptions!$B$68</f>
        <v>5000</v>
      </c>
      <c r="V73" s="12">
        <f>V15*Assumptions!$B$68</f>
        <v>7500</v>
      </c>
      <c r="W73" s="12">
        <f>W15*Assumptions!$B$68</f>
        <v>5000</v>
      </c>
      <c r="X73" s="12">
        <f>X15*Assumptions!$B$68</f>
        <v>5000</v>
      </c>
      <c r="Y73" s="12">
        <f>Y15*Assumptions!$B$68</f>
        <v>5000</v>
      </c>
      <c r="Z73" s="12">
        <f>Z15*Assumptions!$B$68</f>
        <v>5000</v>
      </c>
      <c r="AA73" s="12">
        <f>AA15*Assumptions!$B$68</f>
        <v>10000</v>
      </c>
      <c r="AB73" s="12">
        <f>AB15*Assumptions!$B$68</f>
        <v>7500</v>
      </c>
      <c r="AC73" s="12">
        <f>AC15*Assumptions!$B$68</f>
        <v>7500</v>
      </c>
      <c r="AD73" s="12">
        <f>AD15*Assumptions!$B$68</f>
        <v>7500</v>
      </c>
      <c r="AE73" s="12">
        <f>AE15*Assumptions!$B$68</f>
        <v>10000</v>
      </c>
      <c r="AF73" s="12">
        <f>AF15*Assumptions!$B$68</f>
        <v>7500</v>
      </c>
      <c r="AG73" s="12">
        <f>AG15*Assumptions!$B$68</f>
        <v>7500</v>
      </c>
      <c r="AH73" s="12">
        <f>AH15*Assumptions!$B$68</f>
        <v>10000</v>
      </c>
      <c r="AI73" s="12">
        <f>AI15*Assumptions!$B$68</f>
        <v>7500</v>
      </c>
      <c r="AJ73" s="12">
        <f>AJ15*Assumptions!$B$68</f>
        <v>7500</v>
      </c>
      <c r="AK73" s="12">
        <f>AK15*Assumptions!$B$68</f>
        <v>10000</v>
      </c>
      <c r="AL73" s="12">
        <f>AL15*Assumptions!$B$68</f>
        <v>7500</v>
      </c>
    </row>
    <row r="74" spans="1:38" x14ac:dyDescent="0.25">
      <c r="A74" s="2" t="s">
        <v>349</v>
      </c>
      <c r="C74" s="12">
        <f>Assumptions!$B$69</f>
        <v>700</v>
      </c>
      <c r="D74" s="12">
        <f>Assumptions!$B$69</f>
        <v>700</v>
      </c>
      <c r="E74" s="12">
        <f>Assumptions!$B$69</f>
        <v>700</v>
      </c>
      <c r="F74" s="12">
        <f>Assumptions!$B$69</f>
        <v>700</v>
      </c>
      <c r="G74" s="12">
        <f>Assumptions!$B$69</f>
        <v>700</v>
      </c>
      <c r="H74" s="12">
        <f>Assumptions!$B$69</f>
        <v>700</v>
      </c>
      <c r="I74" s="12">
        <f>Assumptions!$B$69</f>
        <v>700</v>
      </c>
      <c r="J74" s="12">
        <f>Assumptions!$B$69</f>
        <v>700</v>
      </c>
      <c r="K74" s="12">
        <f>Assumptions!$B$69</f>
        <v>700</v>
      </c>
      <c r="L74" s="12">
        <f>Assumptions!$B$69</f>
        <v>700</v>
      </c>
      <c r="M74" s="12">
        <f>Assumptions!$B$69</f>
        <v>700</v>
      </c>
      <c r="N74" s="12">
        <f>Assumptions!$B$69</f>
        <v>700</v>
      </c>
      <c r="O74" s="12">
        <f>Assumptions!$B$69</f>
        <v>700</v>
      </c>
      <c r="P74" s="12">
        <f>Assumptions!$B$69</f>
        <v>700</v>
      </c>
      <c r="Q74" s="12">
        <f>Assumptions!$B$69</f>
        <v>700</v>
      </c>
      <c r="R74" s="12">
        <f>Assumptions!$B$69</f>
        <v>700</v>
      </c>
      <c r="S74" s="12">
        <f>Assumptions!$B$69</f>
        <v>700</v>
      </c>
      <c r="T74" s="12">
        <f>Assumptions!$B$69</f>
        <v>700</v>
      </c>
      <c r="U74" s="12">
        <f>Assumptions!$B$69</f>
        <v>700</v>
      </c>
      <c r="V74" s="12">
        <f>Assumptions!$B$69</f>
        <v>700</v>
      </c>
      <c r="W74" s="12">
        <f>Assumptions!$B$69</f>
        <v>700</v>
      </c>
      <c r="X74" s="12">
        <f>Assumptions!$B$69</f>
        <v>700</v>
      </c>
      <c r="Y74" s="12">
        <f>Assumptions!$B$69</f>
        <v>700</v>
      </c>
      <c r="Z74" s="12">
        <f>Assumptions!$B$69</f>
        <v>700</v>
      </c>
      <c r="AA74" s="12">
        <f>Assumptions!$B$69</f>
        <v>700</v>
      </c>
      <c r="AB74" s="12">
        <f>Assumptions!$B$69</f>
        <v>700</v>
      </c>
      <c r="AC74" s="12">
        <f>Assumptions!$B$69</f>
        <v>700</v>
      </c>
      <c r="AD74" s="12">
        <f>Assumptions!$B$69</f>
        <v>700</v>
      </c>
      <c r="AE74" s="12">
        <f>Assumptions!$B$69</f>
        <v>700</v>
      </c>
      <c r="AF74" s="12">
        <f>Assumptions!$B$69</f>
        <v>700</v>
      </c>
      <c r="AG74" s="12">
        <f>Assumptions!$B$69</f>
        <v>700</v>
      </c>
      <c r="AH74" s="12">
        <f>Assumptions!$B$69</f>
        <v>700</v>
      </c>
      <c r="AI74" s="12">
        <f>Assumptions!$B$69</f>
        <v>700</v>
      </c>
      <c r="AJ74" s="12">
        <f>Assumptions!$B$69</f>
        <v>700</v>
      </c>
      <c r="AK74" s="12">
        <f>Assumptions!$B$69</f>
        <v>700</v>
      </c>
      <c r="AL74" s="12">
        <f>Assumptions!$B$69</f>
        <v>700</v>
      </c>
    </row>
    <row r="75" spans="1:38" x14ac:dyDescent="0.25">
      <c r="A75" s="2" t="s">
        <v>350</v>
      </c>
      <c r="C75" s="12">
        <f ca="1">C38*Assumptions!$B$70+C42*Assumptions!$B$71+(C43+C44)*Assumptions!$B$72</f>
        <v>0</v>
      </c>
      <c r="D75" s="12">
        <f ca="1">D38*Assumptions!$B$70+D42*Assumptions!$B$71+(D43+D44)*Assumptions!$B$72</f>
        <v>50</v>
      </c>
      <c r="E75" s="12">
        <f ca="1">E38*Assumptions!$B$70+E42*Assumptions!$B$71+(E43+E44)*Assumptions!$B$72</f>
        <v>600</v>
      </c>
      <c r="F75" s="12">
        <f ca="1">F38*Assumptions!$B$70+F42*Assumptions!$B$71+(F43+F44)*Assumptions!$B$72</f>
        <v>850</v>
      </c>
      <c r="G75" s="12">
        <f ca="1">G38*Assumptions!$B$70+G42*Assumptions!$B$71+(G43+G44)*Assumptions!$B$72</f>
        <v>900</v>
      </c>
      <c r="H75" s="12">
        <f ca="1">H38*Assumptions!$B$70+H42*Assumptions!$B$71+(H43+H44)*Assumptions!$B$72</f>
        <v>900</v>
      </c>
      <c r="I75" s="12">
        <f ca="1">I38*Assumptions!$B$70+I42*Assumptions!$B$71+(I43+I44)*Assumptions!$B$72</f>
        <v>950</v>
      </c>
      <c r="J75" s="12">
        <f ca="1">J38*Assumptions!$B$70+J42*Assumptions!$B$71+(J43+J44)*Assumptions!$B$72</f>
        <v>1000</v>
      </c>
      <c r="K75" s="12">
        <f ca="1">K38*Assumptions!$B$70+K42*Assumptions!$B$71+(K43+K44)*Assumptions!$B$72</f>
        <v>1250</v>
      </c>
      <c r="L75" s="12">
        <f ca="1">L38*Assumptions!$B$70+L42*Assumptions!$B$71+(L43+L44)*Assumptions!$B$72</f>
        <v>1250</v>
      </c>
      <c r="M75" s="12">
        <f ca="1">M38*Assumptions!$B$70+M42*Assumptions!$B$71+(M43+M44)*Assumptions!$B$72</f>
        <v>1250</v>
      </c>
      <c r="N75" s="12">
        <f ca="1">N38*Assumptions!$B$70+N42*Assumptions!$B$71+(N43+N44)*Assumptions!$B$72</f>
        <v>1550</v>
      </c>
      <c r="O75" s="12">
        <f ca="1">O38*Assumptions!$B$70+O42*Assumptions!$B$71+(O43+O44)*Assumptions!$B$72</f>
        <v>1600</v>
      </c>
      <c r="P75" s="12">
        <f ca="1">P38*Assumptions!$B$70+P42*Assumptions!$B$71+(P43+P44)*Assumptions!$B$72</f>
        <v>1650</v>
      </c>
      <c r="Q75" s="12">
        <f ca="1">Q38*Assumptions!$B$70+Q42*Assumptions!$B$71+(Q43+Q44)*Assumptions!$B$72</f>
        <v>1700</v>
      </c>
      <c r="R75" s="12">
        <f ca="1">R38*Assumptions!$B$70+R42*Assumptions!$B$71+(R43+R44)*Assumptions!$B$72</f>
        <v>1950</v>
      </c>
      <c r="S75" s="12">
        <f ca="1">S38*Assumptions!$B$70+S42*Assumptions!$B$71+(S43+S44)*Assumptions!$B$72</f>
        <v>2250</v>
      </c>
      <c r="T75" s="12">
        <f ca="1">T38*Assumptions!$B$70+T42*Assumptions!$B$71+(T43+T44)*Assumptions!$B$72</f>
        <v>3100</v>
      </c>
      <c r="U75" s="12">
        <f ca="1">U38*Assumptions!$B$70+U42*Assumptions!$B$71+(U43+U44)*Assumptions!$B$72</f>
        <v>3650</v>
      </c>
      <c r="V75" s="12">
        <f ca="1">V38*Assumptions!$B$70+V42*Assumptions!$B$71+(V43+V44)*Assumptions!$B$72</f>
        <v>3750</v>
      </c>
      <c r="W75" s="12">
        <f ca="1">W38*Assumptions!$B$70+W42*Assumptions!$B$71+(W43+W44)*Assumptions!$B$72</f>
        <v>4050</v>
      </c>
      <c r="X75" s="12">
        <f ca="1">X38*Assumptions!$B$70+X42*Assumptions!$B$71+(X43+X44)*Assumptions!$B$72</f>
        <v>4350</v>
      </c>
      <c r="Y75" s="12">
        <f ca="1">Y38*Assumptions!$B$70+Y42*Assumptions!$B$71+(Y43+Y44)*Assumptions!$B$72</f>
        <v>4700</v>
      </c>
      <c r="Z75" s="12">
        <f ca="1">Z38*Assumptions!$B$70+Z42*Assumptions!$B$71+(Z43+Z44)*Assumptions!$B$72</f>
        <v>4700</v>
      </c>
      <c r="AA75" s="12">
        <f ca="1">AA38*Assumptions!$B$70+AA42*Assumptions!$B$71+(AA43+AA44)*Assumptions!$B$72</f>
        <v>4800</v>
      </c>
      <c r="AB75" s="12">
        <f ca="1">AB38*Assumptions!$B$70+AB42*Assumptions!$B$71+(AB43+AB44)*Assumptions!$B$72</f>
        <v>5100</v>
      </c>
      <c r="AC75" s="12">
        <f ca="1">AC38*Assumptions!$B$70+AC42*Assumptions!$B$71+(AC43+AC44)*Assumptions!$B$72</f>
        <v>5700</v>
      </c>
      <c r="AD75" s="12">
        <f ca="1">AD38*Assumptions!$B$70+AD42*Assumptions!$B$71+(AD43+AD44)*Assumptions!$B$72</f>
        <v>6050</v>
      </c>
      <c r="AE75" s="12">
        <f ca="1">AE38*Assumptions!$B$70+AE42*Assumptions!$B$71+(AE43+AE44)*Assumptions!$B$72</f>
        <v>6350</v>
      </c>
      <c r="AF75" s="12">
        <f ca="1">AF38*Assumptions!$B$70+AF42*Assumptions!$B$71+(AF43+AF44)*Assumptions!$B$72</f>
        <v>7450</v>
      </c>
      <c r="AG75" s="12">
        <f ca="1">AG38*Assumptions!$B$70+AG42*Assumptions!$B$71+(AG43+AG44)*Assumptions!$B$72</f>
        <v>7750</v>
      </c>
      <c r="AH75" s="12">
        <f ca="1">AH38*Assumptions!$B$70+AH42*Assumptions!$B$71+(AH43+AH44)*Assumptions!$B$72</f>
        <v>8150</v>
      </c>
      <c r="AI75" s="12">
        <f ca="1">AI38*Assumptions!$B$70+AI42*Assumptions!$B$71+(AI43+AI44)*Assumptions!$B$72</f>
        <v>8700</v>
      </c>
      <c r="AJ75" s="12">
        <f ca="1">AJ38*Assumptions!$B$70+AJ42*Assumptions!$B$71+(AJ43+AJ44)*Assumptions!$B$72</f>
        <v>9050</v>
      </c>
      <c r="AK75" s="12">
        <f ca="1">AK38*Assumptions!$B$70+AK42*Assumptions!$B$71+(AK43+AK44)*Assumptions!$B$72</f>
        <v>9400</v>
      </c>
      <c r="AL75" s="12">
        <f ca="1">AL38*Assumptions!$B$70+AL42*Assumptions!$B$71+(AL43+AL44)*Assumptions!$B$72</f>
        <v>9700</v>
      </c>
    </row>
    <row r="76" spans="1:38" x14ac:dyDescent="0.25">
      <c r="A76" s="2" t="s">
        <v>351</v>
      </c>
      <c r="C76" s="12">
        <f ca="1">C30*Assumptions!$B$73+C32*Assumptions!$B$74+(C45+C46)*Assumptions!$B$75</f>
        <v>0</v>
      </c>
      <c r="D76" s="12">
        <f ca="1">D30*Assumptions!$B$73+D32*Assumptions!$B$74+(D45+D46)*Assumptions!$B$75</f>
        <v>750</v>
      </c>
      <c r="E76" s="12">
        <f ca="1">E30*Assumptions!$B$73+E32*Assumptions!$B$74+(E45+E46)*Assumptions!$B$75</f>
        <v>10750</v>
      </c>
      <c r="F76" s="12">
        <f ca="1">F30*Assumptions!$B$73+F32*Assumptions!$B$74+(F45+F46)*Assumptions!$B$75</f>
        <v>5000</v>
      </c>
      <c r="G76" s="12">
        <f ca="1">G30*Assumptions!$B$73+G32*Assumptions!$B$74+(G45+G46)*Assumptions!$B$75</f>
        <v>750</v>
      </c>
      <c r="H76" s="12">
        <f ca="1">H30*Assumptions!$B$73+H32*Assumptions!$B$74+(H45+H46)*Assumptions!$B$75</f>
        <v>0</v>
      </c>
      <c r="I76" s="12">
        <f ca="1">I30*Assumptions!$B$73+I32*Assumptions!$B$74+(I45+I46)*Assumptions!$B$75</f>
        <v>750</v>
      </c>
      <c r="J76" s="12">
        <f ca="1">J30*Assumptions!$B$73+J32*Assumptions!$B$74+(J45+J46)*Assumptions!$B$75</f>
        <v>750</v>
      </c>
      <c r="K76" s="12">
        <f ca="1">K30*Assumptions!$B$73+K32*Assumptions!$B$74+(K45+K46)*Assumptions!$B$75</f>
        <v>5000</v>
      </c>
      <c r="L76" s="12">
        <f ca="1">L30*Assumptions!$B$73+L32*Assumptions!$B$74+(L45+L46)*Assumptions!$B$75</f>
        <v>0</v>
      </c>
      <c r="M76" s="12">
        <f ca="1">M30*Assumptions!$B$73+M32*Assumptions!$B$74+(M45+M46)*Assumptions!$B$75</f>
        <v>0</v>
      </c>
      <c r="N76" s="12">
        <f ca="1">N30*Assumptions!$B$73+N32*Assumptions!$B$74+(N45+N46)*Assumptions!$B$75</f>
        <v>5750</v>
      </c>
      <c r="O76" s="12">
        <f ca="1">O30*Assumptions!$B$73+O32*Assumptions!$B$74+(O45+O46)*Assumptions!$B$75</f>
        <v>750</v>
      </c>
      <c r="P76" s="12">
        <f ca="1">P30*Assumptions!$B$73+P32*Assumptions!$B$74+(P45+P46)*Assumptions!$B$75</f>
        <v>750</v>
      </c>
      <c r="Q76" s="12">
        <f ca="1">Q30*Assumptions!$B$73+Q32*Assumptions!$B$74+(Q45+Q46)*Assumptions!$B$75</f>
        <v>750</v>
      </c>
      <c r="R76" s="12">
        <f ca="1">R30*Assumptions!$B$73+R32*Assumptions!$B$74+(R45+R46)*Assumptions!$B$75</f>
        <v>5750</v>
      </c>
      <c r="S76" s="12">
        <f ca="1">S30*Assumptions!$B$73+S32*Assumptions!$B$74+(S45+S46)*Assumptions!$B$75</f>
        <v>5750</v>
      </c>
      <c r="T76" s="12">
        <f ca="1">T30*Assumptions!$B$73+T32*Assumptions!$B$74+(T45+T46)*Assumptions!$B$75</f>
        <v>16500</v>
      </c>
      <c r="U76" s="12">
        <f ca="1">U30*Assumptions!$B$73+U32*Assumptions!$B$74+(U45+U46)*Assumptions!$B$75</f>
        <v>10750</v>
      </c>
      <c r="V76" s="12">
        <f ca="1">V30*Assumptions!$B$73+V32*Assumptions!$B$74+(V45+V46)*Assumptions!$B$75</f>
        <v>1500</v>
      </c>
      <c r="W76" s="12">
        <f ca="1">W30*Assumptions!$B$73+W32*Assumptions!$B$74+(W45+W46)*Assumptions!$B$75</f>
        <v>5750</v>
      </c>
      <c r="X76" s="12">
        <f ca="1">X30*Assumptions!$B$73+X32*Assumptions!$B$74+(X45+X46)*Assumptions!$B$75</f>
        <v>5750</v>
      </c>
      <c r="Y76" s="12">
        <f ca="1">Y30*Assumptions!$B$73+Y32*Assumptions!$B$74+(Y45+Y46)*Assumptions!$B$75</f>
        <v>6500</v>
      </c>
      <c r="Z76" s="12">
        <f ca="1">Z30*Assumptions!$B$73+Z32*Assumptions!$B$74+(Z45+Z46)*Assumptions!$B$75</f>
        <v>5750</v>
      </c>
      <c r="AA76" s="12">
        <f ca="1">AA30*Assumptions!$B$73+AA32*Assumptions!$B$74+(AA45+AA46)*Assumptions!$B$75</f>
        <v>1500</v>
      </c>
      <c r="AB76" s="12">
        <f ca="1">AB30*Assumptions!$B$73+AB32*Assumptions!$B$74+(AB45+AB46)*Assumptions!$B$75</f>
        <v>5750</v>
      </c>
      <c r="AC76" s="12">
        <f ca="1">AC30*Assumptions!$B$73+AC32*Assumptions!$B$74+(AC45+AC46)*Assumptions!$B$75</f>
        <v>11500</v>
      </c>
      <c r="AD76" s="12">
        <f ca="1">AD30*Assumptions!$B$73+AD32*Assumptions!$B$74+(AD45+AD46)*Assumptions!$B$75</f>
        <v>6500</v>
      </c>
      <c r="AE76" s="12">
        <f ca="1">AE30*Assumptions!$B$73+AE32*Assumptions!$B$74+(AE45+AE46)*Assumptions!$B$75</f>
        <v>6500</v>
      </c>
      <c r="AF76" s="12">
        <f ca="1">AF30*Assumptions!$B$73+AF32*Assumptions!$B$74+(AF45+AF46)*Assumptions!$B$75</f>
        <v>21500</v>
      </c>
      <c r="AG76" s="12">
        <f ca="1">AG30*Assumptions!$B$73+AG32*Assumptions!$B$74+(AG45+AG46)*Assumptions!$B$75</f>
        <v>5750</v>
      </c>
      <c r="AH76" s="12">
        <f ca="1">AH30*Assumptions!$B$73+AH32*Assumptions!$B$74+(AH45+AH46)*Assumptions!$B$75</f>
        <v>7250</v>
      </c>
      <c r="AI76" s="12">
        <f ca="1">AI30*Assumptions!$B$73+AI32*Assumptions!$B$74+(AI45+AI46)*Assumptions!$B$75</f>
        <v>11500</v>
      </c>
      <c r="AJ76" s="12">
        <f ca="1">AJ30*Assumptions!$B$73+AJ32*Assumptions!$B$74+(AJ45+AJ46)*Assumptions!$B$75</f>
        <v>6500</v>
      </c>
      <c r="AK76" s="12">
        <f ca="1">AK30*Assumptions!$B$73+AK32*Assumptions!$B$74+(AK45+AK46)*Assumptions!$B$75</f>
        <v>6500</v>
      </c>
      <c r="AL76" s="12">
        <f ca="1">AL30*Assumptions!$B$73+AL32*Assumptions!$B$74+(AL45+AL46)*Assumptions!$B$75</f>
        <v>6500</v>
      </c>
    </row>
    <row r="77" spans="1:38" x14ac:dyDescent="0.25">
      <c r="A77" s="3" t="s">
        <v>352</v>
      </c>
      <c r="C77" s="42">
        <f t="shared" ref="C77:AL77" ca="1" si="29">SUM(C73:C76)</f>
        <v>3200</v>
      </c>
      <c r="D77" s="42">
        <f t="shared" ca="1" si="29"/>
        <v>4000</v>
      </c>
      <c r="E77" s="42">
        <f t="shared" ca="1" si="29"/>
        <v>12050</v>
      </c>
      <c r="F77" s="42">
        <f t="shared" ca="1" si="29"/>
        <v>9050</v>
      </c>
      <c r="G77" s="42">
        <f t="shared" ca="1" si="29"/>
        <v>4850</v>
      </c>
      <c r="H77" s="42">
        <f t="shared" ca="1" si="29"/>
        <v>4100</v>
      </c>
      <c r="I77" s="42">
        <f t="shared" ca="1" si="29"/>
        <v>2400</v>
      </c>
      <c r="J77" s="42">
        <f t="shared" ca="1" si="29"/>
        <v>4950</v>
      </c>
      <c r="K77" s="42">
        <f t="shared" ca="1" si="29"/>
        <v>9450</v>
      </c>
      <c r="L77" s="42">
        <f t="shared" ca="1" si="29"/>
        <v>4450</v>
      </c>
      <c r="M77" s="42">
        <f t="shared" ca="1" si="29"/>
        <v>1950</v>
      </c>
      <c r="N77" s="42">
        <f t="shared" ca="1" si="29"/>
        <v>10500</v>
      </c>
      <c r="O77" s="42">
        <f t="shared" ca="1" si="29"/>
        <v>8050</v>
      </c>
      <c r="P77" s="42">
        <f t="shared" ca="1" si="29"/>
        <v>8100</v>
      </c>
      <c r="Q77" s="42">
        <f t="shared" ca="1" si="29"/>
        <v>10650</v>
      </c>
      <c r="R77" s="42">
        <f t="shared" ca="1" si="29"/>
        <v>13400</v>
      </c>
      <c r="S77" s="42">
        <f t="shared" ca="1" si="29"/>
        <v>13700</v>
      </c>
      <c r="T77" s="42">
        <f t="shared" ca="1" si="29"/>
        <v>25300</v>
      </c>
      <c r="U77" s="42">
        <f t="shared" ca="1" si="29"/>
        <v>20100</v>
      </c>
      <c r="V77" s="42">
        <f t="shared" ca="1" si="29"/>
        <v>13450</v>
      </c>
      <c r="W77" s="42">
        <f t="shared" ca="1" si="29"/>
        <v>15500</v>
      </c>
      <c r="X77" s="42">
        <f t="shared" ca="1" si="29"/>
        <v>15800</v>
      </c>
      <c r="Y77" s="42">
        <f t="shared" ca="1" si="29"/>
        <v>16900</v>
      </c>
      <c r="Z77" s="42">
        <f t="shared" ca="1" si="29"/>
        <v>16150</v>
      </c>
      <c r="AA77" s="42">
        <f t="shared" ca="1" si="29"/>
        <v>17000</v>
      </c>
      <c r="AB77" s="42">
        <f t="shared" ca="1" si="29"/>
        <v>19050</v>
      </c>
      <c r="AC77" s="42">
        <f t="shared" ca="1" si="29"/>
        <v>25400</v>
      </c>
      <c r="AD77" s="42">
        <f t="shared" ca="1" si="29"/>
        <v>20750</v>
      </c>
      <c r="AE77" s="42">
        <f t="shared" ca="1" si="29"/>
        <v>23550</v>
      </c>
      <c r="AF77" s="42">
        <f t="shared" ca="1" si="29"/>
        <v>37150</v>
      </c>
      <c r="AG77" s="42">
        <f t="shared" ca="1" si="29"/>
        <v>21700</v>
      </c>
      <c r="AH77" s="42">
        <f t="shared" ca="1" si="29"/>
        <v>26100</v>
      </c>
      <c r="AI77" s="42">
        <f t="shared" ca="1" si="29"/>
        <v>28400</v>
      </c>
      <c r="AJ77" s="42">
        <f t="shared" ca="1" si="29"/>
        <v>23750</v>
      </c>
      <c r="AK77" s="42">
        <f t="shared" ca="1" si="29"/>
        <v>26600</v>
      </c>
      <c r="AL77" s="42">
        <f t="shared" ca="1" si="29"/>
        <v>24400</v>
      </c>
    </row>
    <row r="79" spans="1:38" x14ac:dyDescent="0.25">
      <c r="A79" s="5" t="s">
        <v>353</v>
      </c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</row>
    <row r="80" spans="1:38" x14ac:dyDescent="0.25">
      <c r="A80" s="2" t="s">
        <v>354</v>
      </c>
      <c r="C80" s="12">
        <f>Assumptions!$B$78</f>
        <v>1950</v>
      </c>
      <c r="D80" s="12">
        <f>Assumptions!$B$78</f>
        <v>1950</v>
      </c>
      <c r="E80" s="12">
        <f>Assumptions!$B$78</f>
        <v>1950</v>
      </c>
      <c r="F80" s="12">
        <f>Assumptions!$B$78</f>
        <v>1950</v>
      </c>
      <c r="G80" s="12">
        <f>Assumptions!$B$78</f>
        <v>1950</v>
      </c>
      <c r="H80" s="12">
        <f>Assumptions!$B$78</f>
        <v>1950</v>
      </c>
      <c r="I80" s="12">
        <f>Assumptions!$B$78</f>
        <v>1950</v>
      </c>
      <c r="J80" s="12">
        <f>Assumptions!$B$78</f>
        <v>1950</v>
      </c>
      <c r="K80" s="12">
        <f>Assumptions!$B$78</f>
        <v>1950</v>
      </c>
      <c r="L80" s="12">
        <f>Assumptions!$B$78</f>
        <v>1950</v>
      </c>
      <c r="M80" s="12">
        <f>Assumptions!$B$78</f>
        <v>1950</v>
      </c>
      <c r="N80" s="12">
        <f>Assumptions!$B$78</f>
        <v>1950</v>
      </c>
      <c r="O80" s="12">
        <f>Assumptions!$B$78</f>
        <v>1950</v>
      </c>
      <c r="P80" s="12">
        <f>Assumptions!$B$78</f>
        <v>1950</v>
      </c>
      <c r="Q80" s="12">
        <f>Assumptions!$B$78</f>
        <v>1950</v>
      </c>
      <c r="R80" s="12">
        <f>Assumptions!$B$78</f>
        <v>1950</v>
      </c>
      <c r="S80" s="12">
        <f>Assumptions!$B$78</f>
        <v>1950</v>
      </c>
      <c r="T80" s="12">
        <f>Assumptions!$B$78</f>
        <v>1950</v>
      </c>
      <c r="U80" s="12">
        <f>Assumptions!$B$78</f>
        <v>1950</v>
      </c>
      <c r="V80" s="12">
        <f>Assumptions!$B$78</f>
        <v>1950</v>
      </c>
      <c r="W80" s="12">
        <f>Assumptions!$B$78</f>
        <v>1950</v>
      </c>
      <c r="X80" s="12">
        <f>Assumptions!$B$78</f>
        <v>1950</v>
      </c>
      <c r="Y80" s="12">
        <f>Assumptions!$B$78</f>
        <v>1950</v>
      </c>
      <c r="Z80" s="12">
        <f>Assumptions!$B$78</f>
        <v>1950</v>
      </c>
      <c r="AA80" s="12">
        <f>Assumptions!$B$78</f>
        <v>1950</v>
      </c>
      <c r="AB80" s="12">
        <f>Assumptions!$B$78</f>
        <v>1950</v>
      </c>
      <c r="AC80" s="12">
        <f>Assumptions!$B$78</f>
        <v>1950</v>
      </c>
      <c r="AD80" s="12">
        <f>Assumptions!$B$78</f>
        <v>1950</v>
      </c>
      <c r="AE80" s="12">
        <f>Assumptions!$B$78</f>
        <v>1950</v>
      </c>
      <c r="AF80" s="12">
        <f>Assumptions!$B$78</f>
        <v>1950</v>
      </c>
      <c r="AG80" s="12">
        <f>Assumptions!$B$78</f>
        <v>1950</v>
      </c>
      <c r="AH80" s="12">
        <f>Assumptions!$B$78</f>
        <v>1950</v>
      </c>
      <c r="AI80" s="12">
        <f>Assumptions!$B$78</f>
        <v>1950</v>
      </c>
      <c r="AJ80" s="12">
        <f>Assumptions!$B$78</f>
        <v>1950</v>
      </c>
      <c r="AK80" s="12">
        <f>Assumptions!$B$78</f>
        <v>1950</v>
      </c>
      <c r="AL80" s="12">
        <f>Assumptions!$B$78</f>
        <v>1950</v>
      </c>
    </row>
    <row r="81" spans="1:38" x14ac:dyDescent="0.25">
      <c r="A81" s="2" t="s">
        <v>355</v>
      </c>
      <c r="C81" s="12">
        <f>Assumptions!$B$79+Assumptions!$B$80*C62</f>
        <v>1200</v>
      </c>
      <c r="D81" s="12">
        <f>Assumptions!$B$79+Assumptions!$B$80*D62</f>
        <v>1200</v>
      </c>
      <c r="E81" s="12">
        <f>Assumptions!$B$79+Assumptions!$B$80*E62</f>
        <v>1200</v>
      </c>
      <c r="F81" s="12">
        <f>Assumptions!$B$79+Assumptions!$B$80*F62</f>
        <v>1200</v>
      </c>
      <c r="G81" s="12">
        <f>Assumptions!$B$79+Assumptions!$B$80*G62</f>
        <v>1200</v>
      </c>
      <c r="H81" s="12">
        <f>Assumptions!$B$79+Assumptions!$B$80*H62</f>
        <v>1200</v>
      </c>
      <c r="I81" s="12">
        <f>Assumptions!$B$79+Assumptions!$B$80*I62</f>
        <v>1200</v>
      </c>
      <c r="J81" s="12">
        <f>Assumptions!$B$79+Assumptions!$B$80*J62</f>
        <v>1200</v>
      </c>
      <c r="K81" s="12">
        <f>Assumptions!$B$79+Assumptions!$B$80*K62</f>
        <v>1950</v>
      </c>
      <c r="L81" s="12">
        <f>Assumptions!$B$79+Assumptions!$B$80*L62</f>
        <v>1950</v>
      </c>
      <c r="M81" s="12">
        <f>Assumptions!$B$79+Assumptions!$B$80*M62</f>
        <v>1950</v>
      </c>
      <c r="N81" s="12">
        <f>Assumptions!$B$79+Assumptions!$B$80*N62</f>
        <v>1950</v>
      </c>
      <c r="O81" s="12">
        <f>Assumptions!$B$79+Assumptions!$B$80*O62</f>
        <v>2700</v>
      </c>
      <c r="P81" s="12">
        <f>Assumptions!$B$79+Assumptions!$B$80*P62</f>
        <v>2700</v>
      </c>
      <c r="Q81" s="12">
        <f>Assumptions!$B$79+Assumptions!$B$80*Q62</f>
        <v>2700</v>
      </c>
      <c r="R81" s="12">
        <f>Assumptions!$B$79+Assumptions!$B$80*R62</f>
        <v>2700</v>
      </c>
      <c r="S81" s="12">
        <f>Assumptions!$B$79+Assumptions!$B$80*S62</f>
        <v>2700</v>
      </c>
      <c r="T81" s="12">
        <f>Assumptions!$B$79+Assumptions!$B$80*T62</f>
        <v>2700</v>
      </c>
      <c r="U81" s="12">
        <f>Assumptions!$B$79+Assumptions!$B$80*U62</f>
        <v>2700</v>
      </c>
      <c r="V81" s="12">
        <f>Assumptions!$B$79+Assumptions!$B$80*V62</f>
        <v>2700</v>
      </c>
      <c r="W81" s="12">
        <f>Assumptions!$B$79+Assumptions!$B$80*W62</f>
        <v>2700</v>
      </c>
      <c r="X81" s="12">
        <f>Assumptions!$B$79+Assumptions!$B$80*X62</f>
        <v>2700</v>
      </c>
      <c r="Y81" s="12">
        <f>Assumptions!$B$79+Assumptions!$B$80*Y62</f>
        <v>2700</v>
      </c>
      <c r="Z81" s="12">
        <f>Assumptions!$B$79+Assumptions!$B$80*Z62</f>
        <v>2700</v>
      </c>
      <c r="AA81" s="12">
        <f>Assumptions!$B$79+Assumptions!$B$80*AA62</f>
        <v>3450</v>
      </c>
      <c r="AB81" s="12">
        <f>Assumptions!$B$79+Assumptions!$B$80*AB62</f>
        <v>3450</v>
      </c>
      <c r="AC81" s="12">
        <f>Assumptions!$B$79+Assumptions!$B$80*AC62</f>
        <v>3450</v>
      </c>
      <c r="AD81" s="12">
        <f>Assumptions!$B$79+Assumptions!$B$80*AD62</f>
        <v>3450</v>
      </c>
      <c r="AE81" s="12">
        <f>Assumptions!$B$79+Assumptions!$B$80*AE62</f>
        <v>3450</v>
      </c>
      <c r="AF81" s="12">
        <f>Assumptions!$B$79+Assumptions!$B$80*AF62</f>
        <v>3450</v>
      </c>
      <c r="AG81" s="12">
        <f>Assumptions!$B$79+Assumptions!$B$80*AG62</f>
        <v>3450</v>
      </c>
      <c r="AH81" s="12">
        <f>Assumptions!$B$79+Assumptions!$B$80*AH62</f>
        <v>3450</v>
      </c>
      <c r="AI81" s="12">
        <f>Assumptions!$B$79+Assumptions!$B$80*AI62</f>
        <v>3450</v>
      </c>
      <c r="AJ81" s="12">
        <f>Assumptions!$B$79+Assumptions!$B$80*AJ62</f>
        <v>3450</v>
      </c>
      <c r="AK81" s="12">
        <f>Assumptions!$B$79+Assumptions!$B$80*AK62</f>
        <v>3450</v>
      </c>
      <c r="AL81" s="12">
        <f>Assumptions!$B$79+Assumptions!$B$80*AL62</f>
        <v>3450</v>
      </c>
    </row>
    <row r="82" spans="1:38" x14ac:dyDescent="0.25">
      <c r="A82" s="2" t="s">
        <v>356</v>
      </c>
      <c r="C82" s="12">
        <f>IF(OR(C6=Assumptions!$B$89,AND(Assumptions!$B$88=1,OR(C6=Assumptions!$B$89+12,C6=Assumptions!$B$89+24))),Assumptions!$B$90,0)+IF(OR(C6=Assumptions!$B$91,AND(Assumptions!$B$88=1,OR(C6=Assumptions!$B$91+12,C6=Assumptions!$B$91+24))),Assumptions!$B$92,0)+IF(OR(C6=Assumptions!$B$93,AND(Assumptions!$B$88=1,OR(C6=Assumptions!$B$93+12,C6=Assumptions!$B$93+24))),Assumptions!$B$94,0)+IF(OR(C6=Assumptions!$B$95,AND(Assumptions!$B$88=1,OR(C6=Assumptions!$B$95+12,C6=Assumptions!$B$95+24))),Assumptions!$B$96,0)+IF(OR(C6=Assumptions!$B$97,AND(Assumptions!$B$88=1,OR(C6=Assumptions!$B$97+12,C6=Assumptions!$B$97+24))),Assumptions!$B$98,0)+IF(OR(C6=Assumptions!$B$99,AND(Assumptions!$B$88=1,OR(C6=Assumptions!$B$99+12,C6=Assumptions!$B$99+24))),Assumptions!$B$100,0)+IF(OR(C6=Assumptions!$B$101,AND(Assumptions!$B$88=1,OR(C6=Assumptions!$B$101+12,C6=Assumptions!$B$101+24))),Assumptions!$B$102,0)+IF(OR(C6=Assumptions!$B$103,AND(Assumptions!$B$88=1,OR(C6=Assumptions!$B$103+12,C6=Assumptions!$B$103+24))),Assumptions!$B$104,0)</f>
        <v>0</v>
      </c>
      <c r="D82" s="12">
        <f>IF(OR(D6=Assumptions!$B$89,AND(Assumptions!$B$88=1,OR(D6=Assumptions!$B$89+12,D6=Assumptions!$B$89+24))),Assumptions!$B$90,0)+IF(OR(D6=Assumptions!$B$91,AND(Assumptions!$B$88=1,OR(D6=Assumptions!$B$91+12,D6=Assumptions!$B$91+24))),Assumptions!$B$92,0)+IF(OR(D6=Assumptions!$B$93,AND(Assumptions!$B$88=1,OR(D6=Assumptions!$B$93+12,D6=Assumptions!$B$93+24))),Assumptions!$B$94,0)+IF(OR(D6=Assumptions!$B$95,AND(Assumptions!$B$88=1,OR(D6=Assumptions!$B$95+12,D6=Assumptions!$B$95+24))),Assumptions!$B$96,0)+IF(OR(D6=Assumptions!$B$97,AND(Assumptions!$B$88=1,OR(D6=Assumptions!$B$97+12,D6=Assumptions!$B$97+24))),Assumptions!$B$98,0)+IF(OR(D6=Assumptions!$B$99,AND(Assumptions!$B$88=1,OR(D6=Assumptions!$B$99+12,D6=Assumptions!$B$99+24))),Assumptions!$B$100,0)+IF(OR(D6=Assumptions!$B$101,AND(Assumptions!$B$88=1,OR(D6=Assumptions!$B$101+12,D6=Assumptions!$B$101+24))),Assumptions!$B$102,0)+IF(OR(D6=Assumptions!$B$103,AND(Assumptions!$B$88=1,OR(D6=Assumptions!$B$103+12,D6=Assumptions!$B$103+24))),Assumptions!$B$104,0)</f>
        <v>0</v>
      </c>
      <c r="E82" s="12">
        <f>IF(OR(E6=Assumptions!$B$89,AND(Assumptions!$B$88=1,OR(E6=Assumptions!$B$89+12,E6=Assumptions!$B$89+24))),Assumptions!$B$90,0)+IF(OR(E6=Assumptions!$B$91,AND(Assumptions!$B$88=1,OR(E6=Assumptions!$B$91+12,E6=Assumptions!$B$91+24))),Assumptions!$B$92,0)+IF(OR(E6=Assumptions!$B$93,AND(Assumptions!$B$88=1,OR(E6=Assumptions!$B$93+12,E6=Assumptions!$B$93+24))),Assumptions!$B$94,0)+IF(OR(E6=Assumptions!$B$95,AND(Assumptions!$B$88=1,OR(E6=Assumptions!$B$95+12,E6=Assumptions!$B$95+24))),Assumptions!$B$96,0)+IF(OR(E6=Assumptions!$B$97,AND(Assumptions!$B$88=1,OR(E6=Assumptions!$B$97+12,E6=Assumptions!$B$97+24))),Assumptions!$B$98,0)+IF(OR(E6=Assumptions!$B$99,AND(Assumptions!$B$88=1,OR(E6=Assumptions!$B$99+12,E6=Assumptions!$B$99+24))),Assumptions!$B$100,0)+IF(OR(E6=Assumptions!$B$101,AND(Assumptions!$B$88=1,OR(E6=Assumptions!$B$101+12,E6=Assumptions!$B$101+24))),Assumptions!$B$102,0)+IF(OR(E6=Assumptions!$B$103,AND(Assumptions!$B$88=1,OR(E6=Assumptions!$B$103+12,E6=Assumptions!$B$103+24))),Assumptions!$B$104,0)</f>
        <v>7800</v>
      </c>
      <c r="F82" s="12">
        <f>IF(OR(F6=Assumptions!$B$89,AND(Assumptions!$B$88=1,OR(F6=Assumptions!$B$89+12,F6=Assumptions!$B$89+24))),Assumptions!$B$90,0)+IF(OR(F6=Assumptions!$B$91,AND(Assumptions!$B$88=1,OR(F6=Assumptions!$B$91+12,F6=Assumptions!$B$91+24))),Assumptions!$B$92,0)+IF(OR(F6=Assumptions!$B$93,AND(Assumptions!$B$88=1,OR(F6=Assumptions!$B$93+12,F6=Assumptions!$B$93+24))),Assumptions!$B$94,0)+IF(OR(F6=Assumptions!$B$95,AND(Assumptions!$B$88=1,OR(F6=Assumptions!$B$95+12,F6=Assumptions!$B$95+24))),Assumptions!$B$96,0)+IF(OR(F6=Assumptions!$B$97,AND(Assumptions!$B$88=1,OR(F6=Assumptions!$B$97+12,F6=Assumptions!$B$97+24))),Assumptions!$B$98,0)+IF(OR(F6=Assumptions!$B$99,AND(Assumptions!$B$88=1,OR(F6=Assumptions!$B$99+12,F6=Assumptions!$B$99+24))),Assumptions!$B$100,0)+IF(OR(F6=Assumptions!$B$101,AND(Assumptions!$B$88=1,OR(F6=Assumptions!$B$101+12,F6=Assumptions!$B$101+24))),Assumptions!$B$102,0)+IF(OR(F6=Assumptions!$B$103,AND(Assumptions!$B$88=1,OR(F6=Assumptions!$B$103+12,F6=Assumptions!$B$103+24))),Assumptions!$B$104,0)</f>
        <v>0</v>
      </c>
      <c r="G82" s="12">
        <f>IF(OR(G6=Assumptions!$B$89,AND(Assumptions!$B$88=1,OR(G6=Assumptions!$B$89+12,G6=Assumptions!$B$89+24))),Assumptions!$B$90,0)+IF(OR(G6=Assumptions!$B$91,AND(Assumptions!$B$88=1,OR(G6=Assumptions!$B$91+12,G6=Assumptions!$B$91+24))),Assumptions!$B$92,0)+IF(OR(G6=Assumptions!$B$93,AND(Assumptions!$B$88=1,OR(G6=Assumptions!$B$93+12,G6=Assumptions!$B$93+24))),Assumptions!$B$94,0)+IF(OR(G6=Assumptions!$B$95,AND(Assumptions!$B$88=1,OR(G6=Assumptions!$B$95+12,G6=Assumptions!$B$95+24))),Assumptions!$B$96,0)+IF(OR(G6=Assumptions!$B$97,AND(Assumptions!$B$88=1,OR(G6=Assumptions!$B$97+12,G6=Assumptions!$B$97+24))),Assumptions!$B$98,0)+IF(OR(G6=Assumptions!$B$99,AND(Assumptions!$B$88=1,OR(G6=Assumptions!$B$99+12,G6=Assumptions!$B$99+24))),Assumptions!$B$100,0)+IF(OR(G6=Assumptions!$B$101,AND(Assumptions!$B$88=1,OR(G6=Assumptions!$B$101+12,G6=Assumptions!$B$101+24))),Assumptions!$B$102,0)+IF(OR(G6=Assumptions!$B$103,AND(Assumptions!$B$88=1,OR(G6=Assumptions!$B$103+12,G6=Assumptions!$B$103+24))),Assumptions!$B$104,0)</f>
        <v>5000</v>
      </c>
      <c r="H82" s="12">
        <f>IF(OR(H6=Assumptions!$B$89,AND(Assumptions!$B$88=1,OR(H6=Assumptions!$B$89+12,H6=Assumptions!$B$89+24))),Assumptions!$B$90,0)+IF(OR(H6=Assumptions!$B$91,AND(Assumptions!$B$88=1,OR(H6=Assumptions!$B$91+12,H6=Assumptions!$B$91+24))),Assumptions!$B$92,0)+IF(OR(H6=Assumptions!$B$93,AND(Assumptions!$B$88=1,OR(H6=Assumptions!$B$93+12,H6=Assumptions!$B$93+24))),Assumptions!$B$94,0)+IF(OR(H6=Assumptions!$B$95,AND(Assumptions!$B$88=1,OR(H6=Assumptions!$B$95+12,H6=Assumptions!$B$95+24))),Assumptions!$B$96,0)+IF(OR(H6=Assumptions!$B$97,AND(Assumptions!$B$88=1,OR(H6=Assumptions!$B$97+12,H6=Assumptions!$B$97+24))),Assumptions!$B$98,0)+IF(OR(H6=Assumptions!$B$99,AND(Assumptions!$B$88=1,OR(H6=Assumptions!$B$99+12,H6=Assumptions!$B$99+24))),Assumptions!$B$100,0)+IF(OR(H6=Assumptions!$B$101,AND(Assumptions!$B$88=1,OR(H6=Assumptions!$B$101+12,H6=Assumptions!$B$101+24))),Assumptions!$B$102,0)+IF(OR(H6=Assumptions!$B$103,AND(Assumptions!$B$88=1,OR(H6=Assumptions!$B$103+12,H6=Assumptions!$B$103+24))),Assumptions!$B$104,0)</f>
        <v>1000</v>
      </c>
      <c r="I82" s="12">
        <f>IF(OR(I6=Assumptions!$B$89,AND(Assumptions!$B$88=1,OR(I6=Assumptions!$B$89+12,I6=Assumptions!$B$89+24))),Assumptions!$B$90,0)+IF(OR(I6=Assumptions!$B$91,AND(Assumptions!$B$88=1,OR(I6=Assumptions!$B$91+12,I6=Assumptions!$B$91+24))),Assumptions!$B$92,0)+IF(OR(I6=Assumptions!$B$93,AND(Assumptions!$B$88=1,OR(I6=Assumptions!$B$93+12,I6=Assumptions!$B$93+24))),Assumptions!$B$94,0)+IF(OR(I6=Assumptions!$B$95,AND(Assumptions!$B$88=1,OR(I6=Assumptions!$B$95+12,I6=Assumptions!$B$95+24))),Assumptions!$B$96,0)+IF(OR(I6=Assumptions!$B$97,AND(Assumptions!$B$88=1,OR(I6=Assumptions!$B$97+12,I6=Assumptions!$B$97+24))),Assumptions!$B$98,0)+IF(OR(I6=Assumptions!$B$99,AND(Assumptions!$B$88=1,OR(I6=Assumptions!$B$99+12,I6=Assumptions!$B$99+24))),Assumptions!$B$100,0)+IF(OR(I6=Assumptions!$B$101,AND(Assumptions!$B$88=1,OR(I6=Assumptions!$B$101+12,I6=Assumptions!$B$101+24))),Assumptions!$B$102,0)+IF(OR(I6=Assumptions!$B$103,AND(Assumptions!$B$88=1,OR(I6=Assumptions!$B$103+12,I6=Assumptions!$B$103+24))),Assumptions!$B$104,0)</f>
        <v>0</v>
      </c>
      <c r="J82" s="12">
        <f>IF(OR(J6=Assumptions!$B$89,AND(Assumptions!$B$88=1,OR(J6=Assumptions!$B$89+12,J6=Assumptions!$B$89+24))),Assumptions!$B$90,0)+IF(OR(J6=Assumptions!$B$91,AND(Assumptions!$B$88=1,OR(J6=Assumptions!$B$91+12,J6=Assumptions!$B$91+24))),Assumptions!$B$92,0)+IF(OR(J6=Assumptions!$B$93,AND(Assumptions!$B$88=1,OR(J6=Assumptions!$B$93+12,J6=Assumptions!$B$93+24))),Assumptions!$B$94,0)+IF(OR(J6=Assumptions!$B$95,AND(Assumptions!$B$88=1,OR(J6=Assumptions!$B$95+12,J6=Assumptions!$B$95+24))),Assumptions!$B$96,0)+IF(OR(J6=Assumptions!$B$97,AND(Assumptions!$B$88=1,OR(J6=Assumptions!$B$97+12,J6=Assumptions!$B$97+24))),Assumptions!$B$98,0)+IF(OR(J6=Assumptions!$B$99,AND(Assumptions!$B$88=1,OR(J6=Assumptions!$B$99+12,J6=Assumptions!$B$99+24))),Assumptions!$B$100,0)+IF(OR(J6=Assumptions!$B$101,AND(Assumptions!$B$88=1,OR(J6=Assumptions!$B$101+12,J6=Assumptions!$B$101+24))),Assumptions!$B$102,0)+IF(OR(J6=Assumptions!$B$103,AND(Assumptions!$B$88=1,OR(J6=Assumptions!$B$103+12,J6=Assumptions!$B$103+24))),Assumptions!$B$104,0)</f>
        <v>0</v>
      </c>
      <c r="K82" s="12">
        <f>IF(OR(K6=Assumptions!$B$89,AND(Assumptions!$B$88=1,OR(K6=Assumptions!$B$89+12,K6=Assumptions!$B$89+24))),Assumptions!$B$90,0)+IF(OR(K6=Assumptions!$B$91,AND(Assumptions!$B$88=1,OR(K6=Assumptions!$B$91+12,K6=Assumptions!$B$91+24))),Assumptions!$B$92,0)+IF(OR(K6=Assumptions!$B$93,AND(Assumptions!$B$88=1,OR(K6=Assumptions!$B$93+12,K6=Assumptions!$B$93+24))),Assumptions!$B$94,0)+IF(OR(K6=Assumptions!$B$95,AND(Assumptions!$B$88=1,OR(K6=Assumptions!$B$95+12,K6=Assumptions!$B$95+24))),Assumptions!$B$96,0)+IF(OR(K6=Assumptions!$B$97,AND(Assumptions!$B$88=1,OR(K6=Assumptions!$B$97+12,K6=Assumptions!$B$97+24))),Assumptions!$B$98,0)+IF(OR(K6=Assumptions!$B$99,AND(Assumptions!$B$88=1,OR(K6=Assumptions!$B$99+12,K6=Assumptions!$B$99+24))),Assumptions!$B$100,0)+IF(OR(K6=Assumptions!$B$101,AND(Assumptions!$B$88=1,OR(K6=Assumptions!$B$101+12,K6=Assumptions!$B$101+24))),Assumptions!$B$102,0)+IF(OR(K6=Assumptions!$B$103,AND(Assumptions!$B$88=1,OR(K6=Assumptions!$B$103+12,K6=Assumptions!$B$103+24))),Assumptions!$B$104,0)</f>
        <v>3000</v>
      </c>
      <c r="L82" s="12">
        <f>IF(OR(L6=Assumptions!$B$89,AND(Assumptions!$B$88=1,OR(L6=Assumptions!$B$89+12,L6=Assumptions!$B$89+24))),Assumptions!$B$90,0)+IF(OR(L6=Assumptions!$B$91,AND(Assumptions!$B$88=1,OR(L6=Assumptions!$B$91+12,L6=Assumptions!$B$91+24))),Assumptions!$B$92,0)+IF(OR(L6=Assumptions!$B$93,AND(Assumptions!$B$88=1,OR(L6=Assumptions!$B$93+12,L6=Assumptions!$B$93+24))),Assumptions!$B$94,0)+IF(OR(L6=Assumptions!$B$95,AND(Assumptions!$B$88=1,OR(L6=Assumptions!$B$95+12,L6=Assumptions!$B$95+24))),Assumptions!$B$96,0)+IF(OR(L6=Assumptions!$B$97,AND(Assumptions!$B$88=1,OR(L6=Assumptions!$B$97+12,L6=Assumptions!$B$97+24))),Assumptions!$B$98,0)+IF(OR(L6=Assumptions!$B$99,AND(Assumptions!$B$88=1,OR(L6=Assumptions!$B$99+12,L6=Assumptions!$B$99+24))),Assumptions!$B$100,0)+IF(OR(L6=Assumptions!$B$101,AND(Assumptions!$B$88=1,OR(L6=Assumptions!$B$101+12,L6=Assumptions!$B$101+24))),Assumptions!$B$102,0)+IF(OR(L6=Assumptions!$B$103,AND(Assumptions!$B$88=1,OR(L6=Assumptions!$B$103+12,L6=Assumptions!$B$103+24))),Assumptions!$B$104,0)</f>
        <v>1500</v>
      </c>
      <c r="M82" s="12">
        <f>IF(OR(M6=Assumptions!$B$89,AND(Assumptions!$B$88=1,OR(M6=Assumptions!$B$89+12,M6=Assumptions!$B$89+24))),Assumptions!$B$90,0)+IF(OR(M6=Assumptions!$B$91,AND(Assumptions!$B$88=1,OR(M6=Assumptions!$B$91+12,M6=Assumptions!$B$91+24))),Assumptions!$B$92,0)+IF(OR(M6=Assumptions!$B$93,AND(Assumptions!$B$88=1,OR(M6=Assumptions!$B$93+12,M6=Assumptions!$B$93+24))),Assumptions!$B$94,0)+IF(OR(M6=Assumptions!$B$95,AND(Assumptions!$B$88=1,OR(M6=Assumptions!$B$95+12,M6=Assumptions!$B$95+24))),Assumptions!$B$96,0)+IF(OR(M6=Assumptions!$B$97,AND(Assumptions!$B$88=1,OR(M6=Assumptions!$B$97+12,M6=Assumptions!$B$97+24))),Assumptions!$B$98,0)+IF(OR(M6=Assumptions!$B$99,AND(Assumptions!$B$88=1,OR(M6=Assumptions!$B$99+12,M6=Assumptions!$B$99+24))),Assumptions!$B$100,0)+IF(OR(M6=Assumptions!$B$101,AND(Assumptions!$B$88=1,OR(M6=Assumptions!$B$101+12,M6=Assumptions!$B$101+24))),Assumptions!$B$102,0)+IF(OR(M6=Assumptions!$B$103,AND(Assumptions!$B$88=1,OR(M6=Assumptions!$B$103+12,M6=Assumptions!$B$103+24))),Assumptions!$B$104,0)</f>
        <v>0</v>
      </c>
      <c r="N82" s="12">
        <f>IF(OR(N6=Assumptions!$B$89,AND(Assumptions!$B$88=1,OR(N6=Assumptions!$B$89+12,N6=Assumptions!$B$89+24))),Assumptions!$B$90,0)+IF(OR(N6=Assumptions!$B$91,AND(Assumptions!$B$88=1,OR(N6=Assumptions!$B$91+12,N6=Assumptions!$B$91+24))),Assumptions!$B$92,0)+IF(OR(N6=Assumptions!$B$93,AND(Assumptions!$B$88=1,OR(N6=Assumptions!$B$93+12,N6=Assumptions!$B$93+24))),Assumptions!$B$94,0)+IF(OR(N6=Assumptions!$B$95,AND(Assumptions!$B$88=1,OR(N6=Assumptions!$B$95+12,N6=Assumptions!$B$95+24))),Assumptions!$B$96,0)+IF(OR(N6=Assumptions!$B$97,AND(Assumptions!$B$88=1,OR(N6=Assumptions!$B$97+12,N6=Assumptions!$B$97+24))),Assumptions!$B$98,0)+IF(OR(N6=Assumptions!$B$99,AND(Assumptions!$B$88=1,OR(N6=Assumptions!$B$99+12,N6=Assumptions!$B$99+24))),Assumptions!$B$100,0)+IF(OR(N6=Assumptions!$B$101,AND(Assumptions!$B$88=1,OR(N6=Assumptions!$B$101+12,N6=Assumptions!$B$101+24))),Assumptions!$B$102,0)+IF(OR(N6=Assumptions!$B$103,AND(Assumptions!$B$88=1,OR(N6=Assumptions!$B$103+12,N6=Assumptions!$B$103+24))),Assumptions!$B$104,0)</f>
        <v>0</v>
      </c>
      <c r="O82" s="12">
        <f>IF(OR(O6=Assumptions!$B$89,AND(Assumptions!$B$88=1,OR(O6=Assumptions!$B$89+12,O6=Assumptions!$B$89+24))),Assumptions!$B$90,0)+IF(OR(O6=Assumptions!$B$91,AND(Assumptions!$B$88=1,OR(O6=Assumptions!$B$91+12,O6=Assumptions!$B$91+24))),Assumptions!$B$92,0)+IF(OR(O6=Assumptions!$B$93,AND(Assumptions!$B$88=1,OR(O6=Assumptions!$B$93+12,O6=Assumptions!$B$93+24))),Assumptions!$B$94,0)+IF(OR(O6=Assumptions!$B$95,AND(Assumptions!$B$88=1,OR(O6=Assumptions!$B$95+12,O6=Assumptions!$B$95+24))),Assumptions!$B$96,0)+IF(OR(O6=Assumptions!$B$97,AND(Assumptions!$B$88=1,OR(O6=Assumptions!$B$97+12,O6=Assumptions!$B$97+24))),Assumptions!$B$98,0)+IF(OR(O6=Assumptions!$B$99,AND(Assumptions!$B$88=1,OR(O6=Assumptions!$B$99+12,O6=Assumptions!$B$99+24))),Assumptions!$B$100,0)+IF(OR(O6=Assumptions!$B$101,AND(Assumptions!$B$88=1,OR(O6=Assumptions!$B$101+12,O6=Assumptions!$B$101+24))),Assumptions!$B$102,0)+IF(OR(O6=Assumptions!$B$103,AND(Assumptions!$B$88=1,OR(O6=Assumptions!$B$103+12,O6=Assumptions!$B$103+24))),Assumptions!$B$104,0)</f>
        <v>0</v>
      </c>
      <c r="P82" s="12">
        <f>IF(OR(P6=Assumptions!$B$89,AND(Assumptions!$B$88=1,OR(P6=Assumptions!$B$89+12,P6=Assumptions!$B$89+24))),Assumptions!$B$90,0)+IF(OR(P6=Assumptions!$B$91,AND(Assumptions!$B$88=1,OR(P6=Assumptions!$B$91+12,P6=Assumptions!$B$91+24))),Assumptions!$B$92,0)+IF(OR(P6=Assumptions!$B$93,AND(Assumptions!$B$88=1,OR(P6=Assumptions!$B$93+12,P6=Assumptions!$B$93+24))),Assumptions!$B$94,0)+IF(OR(P6=Assumptions!$B$95,AND(Assumptions!$B$88=1,OR(P6=Assumptions!$B$95+12,P6=Assumptions!$B$95+24))),Assumptions!$B$96,0)+IF(OR(P6=Assumptions!$B$97,AND(Assumptions!$B$88=1,OR(P6=Assumptions!$B$97+12,P6=Assumptions!$B$97+24))),Assumptions!$B$98,0)+IF(OR(P6=Assumptions!$B$99,AND(Assumptions!$B$88=1,OR(P6=Assumptions!$B$99+12,P6=Assumptions!$B$99+24))),Assumptions!$B$100,0)+IF(OR(P6=Assumptions!$B$101,AND(Assumptions!$B$88=1,OR(P6=Assumptions!$B$101+12,P6=Assumptions!$B$101+24))),Assumptions!$B$102,0)+IF(OR(P6=Assumptions!$B$103,AND(Assumptions!$B$88=1,OR(P6=Assumptions!$B$103+12,P6=Assumptions!$B$103+24))),Assumptions!$B$104,0)</f>
        <v>0</v>
      </c>
      <c r="Q82" s="12">
        <f>IF(OR(Q6=Assumptions!$B$89,AND(Assumptions!$B$88=1,OR(Q6=Assumptions!$B$89+12,Q6=Assumptions!$B$89+24))),Assumptions!$B$90,0)+IF(OR(Q6=Assumptions!$B$91,AND(Assumptions!$B$88=1,OR(Q6=Assumptions!$B$91+12,Q6=Assumptions!$B$91+24))),Assumptions!$B$92,0)+IF(OR(Q6=Assumptions!$B$93,AND(Assumptions!$B$88=1,OR(Q6=Assumptions!$B$93+12,Q6=Assumptions!$B$93+24))),Assumptions!$B$94,0)+IF(OR(Q6=Assumptions!$B$95,AND(Assumptions!$B$88=1,OR(Q6=Assumptions!$B$95+12,Q6=Assumptions!$B$95+24))),Assumptions!$B$96,0)+IF(OR(Q6=Assumptions!$B$97,AND(Assumptions!$B$88=1,OR(Q6=Assumptions!$B$97+12,Q6=Assumptions!$B$97+24))),Assumptions!$B$98,0)+IF(OR(Q6=Assumptions!$B$99,AND(Assumptions!$B$88=1,OR(Q6=Assumptions!$B$99+12,Q6=Assumptions!$B$99+24))),Assumptions!$B$100,0)+IF(OR(Q6=Assumptions!$B$101,AND(Assumptions!$B$88=1,OR(Q6=Assumptions!$B$101+12,Q6=Assumptions!$B$101+24))),Assumptions!$B$102,0)+IF(OR(Q6=Assumptions!$B$103,AND(Assumptions!$B$88=1,OR(Q6=Assumptions!$B$103+12,Q6=Assumptions!$B$103+24))),Assumptions!$B$104,0)</f>
        <v>7800</v>
      </c>
      <c r="R82" s="12">
        <f>IF(OR(R6=Assumptions!$B$89,AND(Assumptions!$B$88=1,OR(R6=Assumptions!$B$89+12,R6=Assumptions!$B$89+24))),Assumptions!$B$90,0)+IF(OR(R6=Assumptions!$B$91,AND(Assumptions!$B$88=1,OR(R6=Assumptions!$B$91+12,R6=Assumptions!$B$91+24))),Assumptions!$B$92,0)+IF(OR(R6=Assumptions!$B$93,AND(Assumptions!$B$88=1,OR(R6=Assumptions!$B$93+12,R6=Assumptions!$B$93+24))),Assumptions!$B$94,0)+IF(OR(R6=Assumptions!$B$95,AND(Assumptions!$B$88=1,OR(R6=Assumptions!$B$95+12,R6=Assumptions!$B$95+24))),Assumptions!$B$96,0)+IF(OR(R6=Assumptions!$B$97,AND(Assumptions!$B$88=1,OR(R6=Assumptions!$B$97+12,R6=Assumptions!$B$97+24))),Assumptions!$B$98,0)+IF(OR(R6=Assumptions!$B$99,AND(Assumptions!$B$88=1,OR(R6=Assumptions!$B$99+12,R6=Assumptions!$B$99+24))),Assumptions!$B$100,0)+IF(OR(R6=Assumptions!$B$101,AND(Assumptions!$B$88=1,OR(R6=Assumptions!$B$101+12,R6=Assumptions!$B$101+24))),Assumptions!$B$102,0)+IF(OR(R6=Assumptions!$B$103,AND(Assumptions!$B$88=1,OR(R6=Assumptions!$B$103+12,R6=Assumptions!$B$103+24))),Assumptions!$B$104,0)</f>
        <v>0</v>
      </c>
      <c r="S82" s="12">
        <f>IF(OR(S6=Assumptions!$B$89,AND(Assumptions!$B$88=1,OR(S6=Assumptions!$B$89+12,S6=Assumptions!$B$89+24))),Assumptions!$B$90,0)+IF(OR(S6=Assumptions!$B$91,AND(Assumptions!$B$88=1,OR(S6=Assumptions!$B$91+12,S6=Assumptions!$B$91+24))),Assumptions!$B$92,0)+IF(OR(S6=Assumptions!$B$93,AND(Assumptions!$B$88=1,OR(S6=Assumptions!$B$93+12,S6=Assumptions!$B$93+24))),Assumptions!$B$94,0)+IF(OR(S6=Assumptions!$B$95,AND(Assumptions!$B$88=1,OR(S6=Assumptions!$B$95+12,S6=Assumptions!$B$95+24))),Assumptions!$B$96,0)+IF(OR(S6=Assumptions!$B$97,AND(Assumptions!$B$88=1,OR(S6=Assumptions!$B$97+12,S6=Assumptions!$B$97+24))),Assumptions!$B$98,0)+IF(OR(S6=Assumptions!$B$99,AND(Assumptions!$B$88=1,OR(S6=Assumptions!$B$99+12,S6=Assumptions!$B$99+24))),Assumptions!$B$100,0)+IF(OR(S6=Assumptions!$B$101,AND(Assumptions!$B$88=1,OR(S6=Assumptions!$B$101+12,S6=Assumptions!$B$101+24))),Assumptions!$B$102,0)+IF(OR(S6=Assumptions!$B$103,AND(Assumptions!$B$88=1,OR(S6=Assumptions!$B$103+12,S6=Assumptions!$B$103+24))),Assumptions!$B$104,0)</f>
        <v>5000</v>
      </c>
      <c r="T82" s="12">
        <f>IF(OR(T6=Assumptions!$B$89,AND(Assumptions!$B$88=1,OR(T6=Assumptions!$B$89+12,T6=Assumptions!$B$89+24))),Assumptions!$B$90,0)+IF(OR(T6=Assumptions!$B$91,AND(Assumptions!$B$88=1,OR(T6=Assumptions!$B$91+12,T6=Assumptions!$B$91+24))),Assumptions!$B$92,0)+IF(OR(T6=Assumptions!$B$93,AND(Assumptions!$B$88=1,OR(T6=Assumptions!$B$93+12,T6=Assumptions!$B$93+24))),Assumptions!$B$94,0)+IF(OR(T6=Assumptions!$B$95,AND(Assumptions!$B$88=1,OR(T6=Assumptions!$B$95+12,T6=Assumptions!$B$95+24))),Assumptions!$B$96,0)+IF(OR(T6=Assumptions!$B$97,AND(Assumptions!$B$88=1,OR(T6=Assumptions!$B$97+12,T6=Assumptions!$B$97+24))),Assumptions!$B$98,0)+IF(OR(T6=Assumptions!$B$99,AND(Assumptions!$B$88=1,OR(T6=Assumptions!$B$99+12,T6=Assumptions!$B$99+24))),Assumptions!$B$100,0)+IF(OR(T6=Assumptions!$B$101,AND(Assumptions!$B$88=1,OR(T6=Assumptions!$B$101+12,T6=Assumptions!$B$101+24))),Assumptions!$B$102,0)+IF(OR(T6=Assumptions!$B$103,AND(Assumptions!$B$88=1,OR(T6=Assumptions!$B$103+12,T6=Assumptions!$B$103+24))),Assumptions!$B$104,0)</f>
        <v>1000</v>
      </c>
      <c r="U82" s="12">
        <f>IF(OR(U6=Assumptions!$B$89,AND(Assumptions!$B$88=1,OR(U6=Assumptions!$B$89+12,U6=Assumptions!$B$89+24))),Assumptions!$B$90,0)+IF(OR(U6=Assumptions!$B$91,AND(Assumptions!$B$88=1,OR(U6=Assumptions!$B$91+12,U6=Assumptions!$B$91+24))),Assumptions!$B$92,0)+IF(OR(U6=Assumptions!$B$93,AND(Assumptions!$B$88=1,OR(U6=Assumptions!$B$93+12,U6=Assumptions!$B$93+24))),Assumptions!$B$94,0)+IF(OR(U6=Assumptions!$B$95,AND(Assumptions!$B$88=1,OR(U6=Assumptions!$B$95+12,U6=Assumptions!$B$95+24))),Assumptions!$B$96,0)+IF(OR(U6=Assumptions!$B$97,AND(Assumptions!$B$88=1,OR(U6=Assumptions!$B$97+12,U6=Assumptions!$B$97+24))),Assumptions!$B$98,0)+IF(OR(U6=Assumptions!$B$99,AND(Assumptions!$B$88=1,OR(U6=Assumptions!$B$99+12,U6=Assumptions!$B$99+24))),Assumptions!$B$100,0)+IF(OR(U6=Assumptions!$B$101,AND(Assumptions!$B$88=1,OR(U6=Assumptions!$B$101+12,U6=Assumptions!$B$101+24))),Assumptions!$B$102,0)+IF(OR(U6=Assumptions!$B$103,AND(Assumptions!$B$88=1,OR(U6=Assumptions!$B$103+12,U6=Assumptions!$B$103+24))),Assumptions!$B$104,0)</f>
        <v>0</v>
      </c>
      <c r="V82" s="12">
        <f>IF(OR(V6=Assumptions!$B$89,AND(Assumptions!$B$88=1,OR(V6=Assumptions!$B$89+12,V6=Assumptions!$B$89+24))),Assumptions!$B$90,0)+IF(OR(V6=Assumptions!$B$91,AND(Assumptions!$B$88=1,OR(V6=Assumptions!$B$91+12,V6=Assumptions!$B$91+24))),Assumptions!$B$92,0)+IF(OR(V6=Assumptions!$B$93,AND(Assumptions!$B$88=1,OR(V6=Assumptions!$B$93+12,V6=Assumptions!$B$93+24))),Assumptions!$B$94,0)+IF(OR(V6=Assumptions!$B$95,AND(Assumptions!$B$88=1,OR(V6=Assumptions!$B$95+12,V6=Assumptions!$B$95+24))),Assumptions!$B$96,0)+IF(OR(V6=Assumptions!$B$97,AND(Assumptions!$B$88=1,OR(V6=Assumptions!$B$97+12,V6=Assumptions!$B$97+24))),Assumptions!$B$98,0)+IF(OR(V6=Assumptions!$B$99,AND(Assumptions!$B$88=1,OR(V6=Assumptions!$B$99+12,V6=Assumptions!$B$99+24))),Assumptions!$B$100,0)+IF(OR(V6=Assumptions!$B$101,AND(Assumptions!$B$88=1,OR(V6=Assumptions!$B$101+12,V6=Assumptions!$B$101+24))),Assumptions!$B$102,0)+IF(OR(V6=Assumptions!$B$103,AND(Assumptions!$B$88=1,OR(V6=Assumptions!$B$103+12,V6=Assumptions!$B$103+24))),Assumptions!$B$104,0)</f>
        <v>0</v>
      </c>
      <c r="W82" s="12">
        <f>IF(OR(W6=Assumptions!$B$89,AND(Assumptions!$B$88=1,OR(W6=Assumptions!$B$89+12,W6=Assumptions!$B$89+24))),Assumptions!$B$90,0)+IF(OR(W6=Assumptions!$B$91,AND(Assumptions!$B$88=1,OR(W6=Assumptions!$B$91+12,W6=Assumptions!$B$91+24))),Assumptions!$B$92,0)+IF(OR(W6=Assumptions!$B$93,AND(Assumptions!$B$88=1,OR(W6=Assumptions!$B$93+12,W6=Assumptions!$B$93+24))),Assumptions!$B$94,0)+IF(OR(W6=Assumptions!$B$95,AND(Assumptions!$B$88=1,OR(W6=Assumptions!$B$95+12,W6=Assumptions!$B$95+24))),Assumptions!$B$96,0)+IF(OR(W6=Assumptions!$B$97,AND(Assumptions!$B$88=1,OR(W6=Assumptions!$B$97+12,W6=Assumptions!$B$97+24))),Assumptions!$B$98,0)+IF(OR(W6=Assumptions!$B$99,AND(Assumptions!$B$88=1,OR(W6=Assumptions!$B$99+12,W6=Assumptions!$B$99+24))),Assumptions!$B$100,0)+IF(OR(W6=Assumptions!$B$101,AND(Assumptions!$B$88=1,OR(W6=Assumptions!$B$101+12,W6=Assumptions!$B$101+24))),Assumptions!$B$102,0)+IF(OR(W6=Assumptions!$B$103,AND(Assumptions!$B$88=1,OR(W6=Assumptions!$B$103+12,W6=Assumptions!$B$103+24))),Assumptions!$B$104,0)</f>
        <v>3000</v>
      </c>
      <c r="X82" s="12">
        <f>IF(OR(X6=Assumptions!$B$89,AND(Assumptions!$B$88=1,OR(X6=Assumptions!$B$89+12,X6=Assumptions!$B$89+24))),Assumptions!$B$90,0)+IF(OR(X6=Assumptions!$B$91,AND(Assumptions!$B$88=1,OR(X6=Assumptions!$B$91+12,X6=Assumptions!$B$91+24))),Assumptions!$B$92,0)+IF(OR(X6=Assumptions!$B$93,AND(Assumptions!$B$88=1,OR(X6=Assumptions!$B$93+12,X6=Assumptions!$B$93+24))),Assumptions!$B$94,0)+IF(OR(X6=Assumptions!$B$95,AND(Assumptions!$B$88=1,OR(X6=Assumptions!$B$95+12,X6=Assumptions!$B$95+24))),Assumptions!$B$96,0)+IF(OR(X6=Assumptions!$B$97,AND(Assumptions!$B$88=1,OR(X6=Assumptions!$B$97+12,X6=Assumptions!$B$97+24))),Assumptions!$B$98,0)+IF(OR(X6=Assumptions!$B$99,AND(Assumptions!$B$88=1,OR(X6=Assumptions!$B$99+12,X6=Assumptions!$B$99+24))),Assumptions!$B$100,0)+IF(OR(X6=Assumptions!$B$101,AND(Assumptions!$B$88=1,OR(X6=Assumptions!$B$101+12,X6=Assumptions!$B$101+24))),Assumptions!$B$102,0)+IF(OR(X6=Assumptions!$B$103,AND(Assumptions!$B$88=1,OR(X6=Assumptions!$B$103+12,X6=Assumptions!$B$103+24))),Assumptions!$B$104,0)</f>
        <v>1500</v>
      </c>
      <c r="Y82" s="12">
        <f>IF(OR(Y6=Assumptions!$B$89,AND(Assumptions!$B$88=1,OR(Y6=Assumptions!$B$89+12,Y6=Assumptions!$B$89+24))),Assumptions!$B$90,0)+IF(OR(Y6=Assumptions!$B$91,AND(Assumptions!$B$88=1,OR(Y6=Assumptions!$B$91+12,Y6=Assumptions!$B$91+24))),Assumptions!$B$92,0)+IF(OR(Y6=Assumptions!$B$93,AND(Assumptions!$B$88=1,OR(Y6=Assumptions!$B$93+12,Y6=Assumptions!$B$93+24))),Assumptions!$B$94,0)+IF(OR(Y6=Assumptions!$B$95,AND(Assumptions!$B$88=1,OR(Y6=Assumptions!$B$95+12,Y6=Assumptions!$B$95+24))),Assumptions!$B$96,0)+IF(OR(Y6=Assumptions!$B$97,AND(Assumptions!$B$88=1,OR(Y6=Assumptions!$B$97+12,Y6=Assumptions!$B$97+24))),Assumptions!$B$98,0)+IF(OR(Y6=Assumptions!$B$99,AND(Assumptions!$B$88=1,OR(Y6=Assumptions!$B$99+12,Y6=Assumptions!$B$99+24))),Assumptions!$B$100,0)+IF(OR(Y6=Assumptions!$B$101,AND(Assumptions!$B$88=1,OR(Y6=Assumptions!$B$101+12,Y6=Assumptions!$B$101+24))),Assumptions!$B$102,0)+IF(OR(Y6=Assumptions!$B$103,AND(Assumptions!$B$88=1,OR(Y6=Assumptions!$B$103+12,Y6=Assumptions!$B$103+24))),Assumptions!$B$104,0)</f>
        <v>0</v>
      </c>
      <c r="Z82" s="12">
        <f>IF(OR(Z6=Assumptions!$B$89,AND(Assumptions!$B$88=1,OR(Z6=Assumptions!$B$89+12,Z6=Assumptions!$B$89+24))),Assumptions!$B$90,0)+IF(OR(Z6=Assumptions!$B$91,AND(Assumptions!$B$88=1,OR(Z6=Assumptions!$B$91+12,Z6=Assumptions!$B$91+24))),Assumptions!$B$92,0)+IF(OR(Z6=Assumptions!$B$93,AND(Assumptions!$B$88=1,OR(Z6=Assumptions!$B$93+12,Z6=Assumptions!$B$93+24))),Assumptions!$B$94,0)+IF(OR(Z6=Assumptions!$B$95,AND(Assumptions!$B$88=1,OR(Z6=Assumptions!$B$95+12,Z6=Assumptions!$B$95+24))),Assumptions!$B$96,0)+IF(OR(Z6=Assumptions!$B$97,AND(Assumptions!$B$88=1,OR(Z6=Assumptions!$B$97+12,Z6=Assumptions!$B$97+24))),Assumptions!$B$98,0)+IF(OR(Z6=Assumptions!$B$99,AND(Assumptions!$B$88=1,OR(Z6=Assumptions!$B$99+12,Z6=Assumptions!$B$99+24))),Assumptions!$B$100,0)+IF(OR(Z6=Assumptions!$B$101,AND(Assumptions!$B$88=1,OR(Z6=Assumptions!$B$101+12,Z6=Assumptions!$B$101+24))),Assumptions!$B$102,0)+IF(OR(Z6=Assumptions!$B$103,AND(Assumptions!$B$88=1,OR(Z6=Assumptions!$B$103+12,Z6=Assumptions!$B$103+24))),Assumptions!$B$104,0)</f>
        <v>0</v>
      </c>
      <c r="AA82" s="12">
        <f>IF(OR(AA6=Assumptions!$B$89,AND(Assumptions!$B$88=1,OR(AA6=Assumptions!$B$89+12,AA6=Assumptions!$B$89+24))),Assumptions!$B$90,0)+IF(OR(AA6=Assumptions!$B$91,AND(Assumptions!$B$88=1,OR(AA6=Assumptions!$B$91+12,AA6=Assumptions!$B$91+24))),Assumptions!$B$92,0)+IF(OR(AA6=Assumptions!$B$93,AND(Assumptions!$B$88=1,OR(AA6=Assumptions!$B$93+12,AA6=Assumptions!$B$93+24))),Assumptions!$B$94,0)+IF(OR(AA6=Assumptions!$B$95,AND(Assumptions!$B$88=1,OR(AA6=Assumptions!$B$95+12,AA6=Assumptions!$B$95+24))),Assumptions!$B$96,0)+IF(OR(AA6=Assumptions!$B$97,AND(Assumptions!$B$88=1,OR(AA6=Assumptions!$B$97+12,AA6=Assumptions!$B$97+24))),Assumptions!$B$98,0)+IF(OR(AA6=Assumptions!$B$99,AND(Assumptions!$B$88=1,OR(AA6=Assumptions!$B$99+12,AA6=Assumptions!$B$99+24))),Assumptions!$B$100,0)+IF(OR(AA6=Assumptions!$B$101,AND(Assumptions!$B$88=1,OR(AA6=Assumptions!$B$101+12,AA6=Assumptions!$B$101+24))),Assumptions!$B$102,0)+IF(OR(AA6=Assumptions!$B$103,AND(Assumptions!$B$88=1,OR(AA6=Assumptions!$B$103+12,AA6=Assumptions!$B$103+24))),Assumptions!$B$104,0)</f>
        <v>0</v>
      </c>
      <c r="AB82" s="12">
        <f>IF(OR(AB6=Assumptions!$B$89,AND(Assumptions!$B$88=1,OR(AB6=Assumptions!$B$89+12,AB6=Assumptions!$B$89+24))),Assumptions!$B$90,0)+IF(OR(AB6=Assumptions!$B$91,AND(Assumptions!$B$88=1,OR(AB6=Assumptions!$B$91+12,AB6=Assumptions!$B$91+24))),Assumptions!$B$92,0)+IF(OR(AB6=Assumptions!$B$93,AND(Assumptions!$B$88=1,OR(AB6=Assumptions!$B$93+12,AB6=Assumptions!$B$93+24))),Assumptions!$B$94,0)+IF(OR(AB6=Assumptions!$B$95,AND(Assumptions!$B$88=1,OR(AB6=Assumptions!$B$95+12,AB6=Assumptions!$B$95+24))),Assumptions!$B$96,0)+IF(OR(AB6=Assumptions!$B$97,AND(Assumptions!$B$88=1,OR(AB6=Assumptions!$B$97+12,AB6=Assumptions!$B$97+24))),Assumptions!$B$98,0)+IF(OR(AB6=Assumptions!$B$99,AND(Assumptions!$B$88=1,OR(AB6=Assumptions!$B$99+12,AB6=Assumptions!$B$99+24))),Assumptions!$B$100,0)+IF(OR(AB6=Assumptions!$B$101,AND(Assumptions!$B$88=1,OR(AB6=Assumptions!$B$101+12,AB6=Assumptions!$B$101+24))),Assumptions!$B$102,0)+IF(OR(AB6=Assumptions!$B$103,AND(Assumptions!$B$88=1,OR(AB6=Assumptions!$B$103+12,AB6=Assumptions!$B$103+24))),Assumptions!$B$104,0)</f>
        <v>0</v>
      </c>
      <c r="AC82" s="12">
        <f>IF(OR(AC6=Assumptions!$B$89,AND(Assumptions!$B$88=1,OR(AC6=Assumptions!$B$89+12,AC6=Assumptions!$B$89+24))),Assumptions!$B$90,0)+IF(OR(AC6=Assumptions!$B$91,AND(Assumptions!$B$88=1,OR(AC6=Assumptions!$B$91+12,AC6=Assumptions!$B$91+24))),Assumptions!$B$92,0)+IF(OR(AC6=Assumptions!$B$93,AND(Assumptions!$B$88=1,OR(AC6=Assumptions!$B$93+12,AC6=Assumptions!$B$93+24))),Assumptions!$B$94,0)+IF(OR(AC6=Assumptions!$B$95,AND(Assumptions!$B$88=1,OR(AC6=Assumptions!$B$95+12,AC6=Assumptions!$B$95+24))),Assumptions!$B$96,0)+IF(OR(AC6=Assumptions!$B$97,AND(Assumptions!$B$88=1,OR(AC6=Assumptions!$B$97+12,AC6=Assumptions!$B$97+24))),Assumptions!$B$98,0)+IF(OR(AC6=Assumptions!$B$99,AND(Assumptions!$B$88=1,OR(AC6=Assumptions!$B$99+12,AC6=Assumptions!$B$99+24))),Assumptions!$B$100,0)+IF(OR(AC6=Assumptions!$B$101,AND(Assumptions!$B$88=1,OR(AC6=Assumptions!$B$101+12,AC6=Assumptions!$B$101+24))),Assumptions!$B$102,0)+IF(OR(AC6=Assumptions!$B$103,AND(Assumptions!$B$88=1,OR(AC6=Assumptions!$B$103+12,AC6=Assumptions!$B$103+24))),Assumptions!$B$104,0)</f>
        <v>7800</v>
      </c>
      <c r="AD82" s="12">
        <f>IF(OR(AD6=Assumptions!$B$89,AND(Assumptions!$B$88=1,OR(AD6=Assumptions!$B$89+12,AD6=Assumptions!$B$89+24))),Assumptions!$B$90,0)+IF(OR(AD6=Assumptions!$B$91,AND(Assumptions!$B$88=1,OR(AD6=Assumptions!$B$91+12,AD6=Assumptions!$B$91+24))),Assumptions!$B$92,0)+IF(OR(AD6=Assumptions!$B$93,AND(Assumptions!$B$88=1,OR(AD6=Assumptions!$B$93+12,AD6=Assumptions!$B$93+24))),Assumptions!$B$94,0)+IF(OR(AD6=Assumptions!$B$95,AND(Assumptions!$B$88=1,OR(AD6=Assumptions!$B$95+12,AD6=Assumptions!$B$95+24))),Assumptions!$B$96,0)+IF(OR(AD6=Assumptions!$B$97,AND(Assumptions!$B$88=1,OR(AD6=Assumptions!$B$97+12,AD6=Assumptions!$B$97+24))),Assumptions!$B$98,0)+IF(OR(AD6=Assumptions!$B$99,AND(Assumptions!$B$88=1,OR(AD6=Assumptions!$B$99+12,AD6=Assumptions!$B$99+24))),Assumptions!$B$100,0)+IF(OR(AD6=Assumptions!$B$101,AND(Assumptions!$B$88=1,OR(AD6=Assumptions!$B$101+12,AD6=Assumptions!$B$101+24))),Assumptions!$B$102,0)+IF(OR(AD6=Assumptions!$B$103,AND(Assumptions!$B$88=1,OR(AD6=Assumptions!$B$103+12,AD6=Assumptions!$B$103+24))),Assumptions!$B$104,0)</f>
        <v>0</v>
      </c>
      <c r="AE82" s="12">
        <f>IF(OR(AE6=Assumptions!$B$89,AND(Assumptions!$B$88=1,OR(AE6=Assumptions!$B$89+12,AE6=Assumptions!$B$89+24))),Assumptions!$B$90,0)+IF(OR(AE6=Assumptions!$B$91,AND(Assumptions!$B$88=1,OR(AE6=Assumptions!$B$91+12,AE6=Assumptions!$B$91+24))),Assumptions!$B$92,0)+IF(OR(AE6=Assumptions!$B$93,AND(Assumptions!$B$88=1,OR(AE6=Assumptions!$B$93+12,AE6=Assumptions!$B$93+24))),Assumptions!$B$94,0)+IF(OR(AE6=Assumptions!$B$95,AND(Assumptions!$B$88=1,OR(AE6=Assumptions!$B$95+12,AE6=Assumptions!$B$95+24))),Assumptions!$B$96,0)+IF(OR(AE6=Assumptions!$B$97,AND(Assumptions!$B$88=1,OR(AE6=Assumptions!$B$97+12,AE6=Assumptions!$B$97+24))),Assumptions!$B$98,0)+IF(OR(AE6=Assumptions!$B$99,AND(Assumptions!$B$88=1,OR(AE6=Assumptions!$B$99+12,AE6=Assumptions!$B$99+24))),Assumptions!$B$100,0)+IF(OR(AE6=Assumptions!$B$101,AND(Assumptions!$B$88=1,OR(AE6=Assumptions!$B$101+12,AE6=Assumptions!$B$101+24))),Assumptions!$B$102,0)+IF(OR(AE6=Assumptions!$B$103,AND(Assumptions!$B$88=1,OR(AE6=Assumptions!$B$103+12,AE6=Assumptions!$B$103+24))),Assumptions!$B$104,0)</f>
        <v>5000</v>
      </c>
      <c r="AF82" s="12">
        <f>IF(OR(AF6=Assumptions!$B$89,AND(Assumptions!$B$88=1,OR(AF6=Assumptions!$B$89+12,AF6=Assumptions!$B$89+24))),Assumptions!$B$90,0)+IF(OR(AF6=Assumptions!$B$91,AND(Assumptions!$B$88=1,OR(AF6=Assumptions!$B$91+12,AF6=Assumptions!$B$91+24))),Assumptions!$B$92,0)+IF(OR(AF6=Assumptions!$B$93,AND(Assumptions!$B$88=1,OR(AF6=Assumptions!$B$93+12,AF6=Assumptions!$B$93+24))),Assumptions!$B$94,0)+IF(OR(AF6=Assumptions!$B$95,AND(Assumptions!$B$88=1,OR(AF6=Assumptions!$B$95+12,AF6=Assumptions!$B$95+24))),Assumptions!$B$96,0)+IF(OR(AF6=Assumptions!$B$97,AND(Assumptions!$B$88=1,OR(AF6=Assumptions!$B$97+12,AF6=Assumptions!$B$97+24))),Assumptions!$B$98,0)+IF(OR(AF6=Assumptions!$B$99,AND(Assumptions!$B$88=1,OR(AF6=Assumptions!$B$99+12,AF6=Assumptions!$B$99+24))),Assumptions!$B$100,0)+IF(OR(AF6=Assumptions!$B$101,AND(Assumptions!$B$88=1,OR(AF6=Assumptions!$B$101+12,AF6=Assumptions!$B$101+24))),Assumptions!$B$102,0)+IF(OR(AF6=Assumptions!$B$103,AND(Assumptions!$B$88=1,OR(AF6=Assumptions!$B$103+12,AF6=Assumptions!$B$103+24))),Assumptions!$B$104,0)</f>
        <v>1000</v>
      </c>
      <c r="AG82" s="12">
        <f>IF(OR(AG6=Assumptions!$B$89,AND(Assumptions!$B$88=1,OR(AG6=Assumptions!$B$89+12,AG6=Assumptions!$B$89+24))),Assumptions!$B$90,0)+IF(OR(AG6=Assumptions!$B$91,AND(Assumptions!$B$88=1,OR(AG6=Assumptions!$B$91+12,AG6=Assumptions!$B$91+24))),Assumptions!$B$92,0)+IF(OR(AG6=Assumptions!$B$93,AND(Assumptions!$B$88=1,OR(AG6=Assumptions!$B$93+12,AG6=Assumptions!$B$93+24))),Assumptions!$B$94,0)+IF(OR(AG6=Assumptions!$B$95,AND(Assumptions!$B$88=1,OR(AG6=Assumptions!$B$95+12,AG6=Assumptions!$B$95+24))),Assumptions!$B$96,0)+IF(OR(AG6=Assumptions!$B$97,AND(Assumptions!$B$88=1,OR(AG6=Assumptions!$B$97+12,AG6=Assumptions!$B$97+24))),Assumptions!$B$98,0)+IF(OR(AG6=Assumptions!$B$99,AND(Assumptions!$B$88=1,OR(AG6=Assumptions!$B$99+12,AG6=Assumptions!$B$99+24))),Assumptions!$B$100,0)+IF(OR(AG6=Assumptions!$B$101,AND(Assumptions!$B$88=1,OR(AG6=Assumptions!$B$101+12,AG6=Assumptions!$B$101+24))),Assumptions!$B$102,0)+IF(OR(AG6=Assumptions!$B$103,AND(Assumptions!$B$88=1,OR(AG6=Assumptions!$B$103+12,AG6=Assumptions!$B$103+24))),Assumptions!$B$104,0)</f>
        <v>0</v>
      </c>
      <c r="AH82" s="12">
        <f>IF(OR(AH6=Assumptions!$B$89,AND(Assumptions!$B$88=1,OR(AH6=Assumptions!$B$89+12,AH6=Assumptions!$B$89+24))),Assumptions!$B$90,0)+IF(OR(AH6=Assumptions!$B$91,AND(Assumptions!$B$88=1,OR(AH6=Assumptions!$B$91+12,AH6=Assumptions!$B$91+24))),Assumptions!$B$92,0)+IF(OR(AH6=Assumptions!$B$93,AND(Assumptions!$B$88=1,OR(AH6=Assumptions!$B$93+12,AH6=Assumptions!$B$93+24))),Assumptions!$B$94,0)+IF(OR(AH6=Assumptions!$B$95,AND(Assumptions!$B$88=1,OR(AH6=Assumptions!$B$95+12,AH6=Assumptions!$B$95+24))),Assumptions!$B$96,0)+IF(OR(AH6=Assumptions!$B$97,AND(Assumptions!$B$88=1,OR(AH6=Assumptions!$B$97+12,AH6=Assumptions!$B$97+24))),Assumptions!$B$98,0)+IF(OR(AH6=Assumptions!$B$99,AND(Assumptions!$B$88=1,OR(AH6=Assumptions!$B$99+12,AH6=Assumptions!$B$99+24))),Assumptions!$B$100,0)+IF(OR(AH6=Assumptions!$B$101,AND(Assumptions!$B$88=1,OR(AH6=Assumptions!$B$101+12,AH6=Assumptions!$B$101+24))),Assumptions!$B$102,0)+IF(OR(AH6=Assumptions!$B$103,AND(Assumptions!$B$88=1,OR(AH6=Assumptions!$B$103+12,AH6=Assumptions!$B$103+24))),Assumptions!$B$104,0)</f>
        <v>0</v>
      </c>
      <c r="AI82" s="12">
        <f>IF(OR(AI6=Assumptions!$B$89,AND(Assumptions!$B$88=1,OR(AI6=Assumptions!$B$89+12,AI6=Assumptions!$B$89+24))),Assumptions!$B$90,0)+IF(OR(AI6=Assumptions!$B$91,AND(Assumptions!$B$88=1,OR(AI6=Assumptions!$B$91+12,AI6=Assumptions!$B$91+24))),Assumptions!$B$92,0)+IF(OR(AI6=Assumptions!$B$93,AND(Assumptions!$B$88=1,OR(AI6=Assumptions!$B$93+12,AI6=Assumptions!$B$93+24))),Assumptions!$B$94,0)+IF(OR(AI6=Assumptions!$B$95,AND(Assumptions!$B$88=1,OR(AI6=Assumptions!$B$95+12,AI6=Assumptions!$B$95+24))),Assumptions!$B$96,0)+IF(OR(AI6=Assumptions!$B$97,AND(Assumptions!$B$88=1,OR(AI6=Assumptions!$B$97+12,AI6=Assumptions!$B$97+24))),Assumptions!$B$98,0)+IF(OR(AI6=Assumptions!$B$99,AND(Assumptions!$B$88=1,OR(AI6=Assumptions!$B$99+12,AI6=Assumptions!$B$99+24))),Assumptions!$B$100,0)+IF(OR(AI6=Assumptions!$B$101,AND(Assumptions!$B$88=1,OR(AI6=Assumptions!$B$101+12,AI6=Assumptions!$B$101+24))),Assumptions!$B$102,0)+IF(OR(AI6=Assumptions!$B$103,AND(Assumptions!$B$88=1,OR(AI6=Assumptions!$B$103+12,AI6=Assumptions!$B$103+24))),Assumptions!$B$104,0)</f>
        <v>3000</v>
      </c>
      <c r="AJ82" s="12">
        <f>IF(OR(AJ6=Assumptions!$B$89,AND(Assumptions!$B$88=1,OR(AJ6=Assumptions!$B$89+12,AJ6=Assumptions!$B$89+24))),Assumptions!$B$90,0)+IF(OR(AJ6=Assumptions!$B$91,AND(Assumptions!$B$88=1,OR(AJ6=Assumptions!$B$91+12,AJ6=Assumptions!$B$91+24))),Assumptions!$B$92,0)+IF(OR(AJ6=Assumptions!$B$93,AND(Assumptions!$B$88=1,OR(AJ6=Assumptions!$B$93+12,AJ6=Assumptions!$B$93+24))),Assumptions!$B$94,0)+IF(OR(AJ6=Assumptions!$B$95,AND(Assumptions!$B$88=1,OR(AJ6=Assumptions!$B$95+12,AJ6=Assumptions!$B$95+24))),Assumptions!$B$96,0)+IF(OR(AJ6=Assumptions!$B$97,AND(Assumptions!$B$88=1,OR(AJ6=Assumptions!$B$97+12,AJ6=Assumptions!$B$97+24))),Assumptions!$B$98,0)+IF(OR(AJ6=Assumptions!$B$99,AND(Assumptions!$B$88=1,OR(AJ6=Assumptions!$B$99+12,AJ6=Assumptions!$B$99+24))),Assumptions!$B$100,0)+IF(OR(AJ6=Assumptions!$B$101,AND(Assumptions!$B$88=1,OR(AJ6=Assumptions!$B$101+12,AJ6=Assumptions!$B$101+24))),Assumptions!$B$102,0)+IF(OR(AJ6=Assumptions!$B$103,AND(Assumptions!$B$88=1,OR(AJ6=Assumptions!$B$103+12,AJ6=Assumptions!$B$103+24))),Assumptions!$B$104,0)</f>
        <v>1500</v>
      </c>
      <c r="AK82" s="12">
        <f>IF(OR(AK6=Assumptions!$B$89,AND(Assumptions!$B$88=1,OR(AK6=Assumptions!$B$89+12,AK6=Assumptions!$B$89+24))),Assumptions!$B$90,0)+IF(OR(AK6=Assumptions!$B$91,AND(Assumptions!$B$88=1,OR(AK6=Assumptions!$B$91+12,AK6=Assumptions!$B$91+24))),Assumptions!$B$92,0)+IF(OR(AK6=Assumptions!$B$93,AND(Assumptions!$B$88=1,OR(AK6=Assumptions!$B$93+12,AK6=Assumptions!$B$93+24))),Assumptions!$B$94,0)+IF(OR(AK6=Assumptions!$B$95,AND(Assumptions!$B$88=1,OR(AK6=Assumptions!$B$95+12,AK6=Assumptions!$B$95+24))),Assumptions!$B$96,0)+IF(OR(AK6=Assumptions!$B$97,AND(Assumptions!$B$88=1,OR(AK6=Assumptions!$B$97+12,AK6=Assumptions!$B$97+24))),Assumptions!$B$98,0)+IF(OR(AK6=Assumptions!$B$99,AND(Assumptions!$B$88=1,OR(AK6=Assumptions!$B$99+12,AK6=Assumptions!$B$99+24))),Assumptions!$B$100,0)+IF(OR(AK6=Assumptions!$B$101,AND(Assumptions!$B$88=1,OR(AK6=Assumptions!$B$101+12,AK6=Assumptions!$B$101+24))),Assumptions!$B$102,0)+IF(OR(AK6=Assumptions!$B$103,AND(Assumptions!$B$88=1,OR(AK6=Assumptions!$B$103+12,AK6=Assumptions!$B$103+24))),Assumptions!$B$104,0)</f>
        <v>0</v>
      </c>
      <c r="AL82" s="12">
        <f>IF(OR(AL6=Assumptions!$B$89,AND(Assumptions!$B$88=1,OR(AL6=Assumptions!$B$89+12,AL6=Assumptions!$B$89+24))),Assumptions!$B$90,0)+IF(OR(AL6=Assumptions!$B$91,AND(Assumptions!$B$88=1,OR(AL6=Assumptions!$B$91+12,AL6=Assumptions!$B$91+24))),Assumptions!$B$92,0)+IF(OR(AL6=Assumptions!$B$93,AND(Assumptions!$B$88=1,OR(AL6=Assumptions!$B$93+12,AL6=Assumptions!$B$93+24))),Assumptions!$B$94,0)+IF(OR(AL6=Assumptions!$B$95,AND(Assumptions!$B$88=1,OR(AL6=Assumptions!$B$95+12,AL6=Assumptions!$B$95+24))),Assumptions!$B$96,0)+IF(OR(AL6=Assumptions!$B$97,AND(Assumptions!$B$88=1,OR(AL6=Assumptions!$B$97+12,AL6=Assumptions!$B$97+24))),Assumptions!$B$98,0)+IF(OR(AL6=Assumptions!$B$99,AND(Assumptions!$B$88=1,OR(AL6=Assumptions!$B$99+12,AL6=Assumptions!$B$99+24))),Assumptions!$B$100,0)+IF(OR(AL6=Assumptions!$B$101,AND(Assumptions!$B$88=1,OR(AL6=Assumptions!$B$101+12,AL6=Assumptions!$B$101+24))),Assumptions!$B$102,0)+IF(OR(AL6=Assumptions!$B$103,AND(Assumptions!$B$88=1,OR(AL6=Assumptions!$B$103+12,AL6=Assumptions!$B$103+24))),Assumptions!$B$104,0)</f>
        <v>0</v>
      </c>
    </row>
    <row r="83" spans="1:38" x14ac:dyDescent="0.25">
      <c r="A83" s="2" t="s">
        <v>357</v>
      </c>
      <c r="C83" s="12">
        <f ca="1">Assumptions!$B$81+Assumptions!$B$82+Assumptions!$B$83+Assumptions!$B$84*(C62+C66)</f>
        <v>1800</v>
      </c>
      <c r="D83" s="12">
        <f ca="1">Assumptions!$B$81+Assumptions!$B$82+Assumptions!$B$83+Assumptions!$B$84*(D62+D66)</f>
        <v>1800</v>
      </c>
      <c r="E83" s="12">
        <f ca="1">Assumptions!$B$81+Assumptions!$B$82+Assumptions!$B$83+Assumptions!$B$84*(E62+E66)</f>
        <v>1800</v>
      </c>
      <c r="F83" s="12">
        <f ca="1">Assumptions!$B$81+Assumptions!$B$82+Assumptions!$B$83+Assumptions!$B$84*(F62+F66)</f>
        <v>1800</v>
      </c>
      <c r="G83" s="12">
        <f ca="1">Assumptions!$B$81+Assumptions!$B$82+Assumptions!$B$83+Assumptions!$B$84*(G62+G66)</f>
        <v>1800</v>
      </c>
      <c r="H83" s="12">
        <f ca="1">Assumptions!$B$81+Assumptions!$B$82+Assumptions!$B$83+Assumptions!$B$84*(H62+H66)</f>
        <v>1800</v>
      </c>
      <c r="I83" s="12">
        <f ca="1">Assumptions!$B$81+Assumptions!$B$82+Assumptions!$B$83+Assumptions!$B$84*(I62+I66)</f>
        <v>1800</v>
      </c>
      <c r="J83" s="12">
        <f ca="1">Assumptions!$B$81+Assumptions!$B$82+Assumptions!$B$83+Assumptions!$B$84*(J62+J66)</f>
        <v>1800</v>
      </c>
      <c r="K83" s="12">
        <f ca="1">Assumptions!$B$81+Assumptions!$B$82+Assumptions!$B$83+Assumptions!$B$84*(K62+K66)</f>
        <v>2050</v>
      </c>
      <c r="L83" s="12">
        <f ca="1">Assumptions!$B$81+Assumptions!$B$82+Assumptions!$B$83+Assumptions!$B$84*(L62+L66)</f>
        <v>2050</v>
      </c>
      <c r="M83" s="12">
        <f ca="1">Assumptions!$B$81+Assumptions!$B$82+Assumptions!$B$83+Assumptions!$B$84*(M62+M66)</f>
        <v>2050</v>
      </c>
      <c r="N83" s="12">
        <f ca="1">Assumptions!$B$81+Assumptions!$B$82+Assumptions!$B$83+Assumptions!$B$84*(N62+N66)</f>
        <v>2050</v>
      </c>
      <c r="O83" s="12">
        <f ca="1">Assumptions!$B$81+Assumptions!$B$82+Assumptions!$B$83+Assumptions!$B$84*(O62+O66)</f>
        <v>2300</v>
      </c>
      <c r="P83" s="12">
        <f ca="1">Assumptions!$B$81+Assumptions!$B$82+Assumptions!$B$83+Assumptions!$B$84*(P62+P66)</f>
        <v>2300</v>
      </c>
      <c r="Q83" s="12">
        <f ca="1">Assumptions!$B$81+Assumptions!$B$82+Assumptions!$B$83+Assumptions!$B$84*(Q62+Q66)</f>
        <v>2300</v>
      </c>
      <c r="R83" s="12">
        <f ca="1">Assumptions!$B$81+Assumptions!$B$82+Assumptions!$B$83+Assumptions!$B$84*(R62+R66)</f>
        <v>2300</v>
      </c>
      <c r="S83" s="12">
        <f ca="1">Assumptions!$B$81+Assumptions!$B$82+Assumptions!$B$83+Assumptions!$B$84*(S62+S66)</f>
        <v>2300</v>
      </c>
      <c r="T83" s="12">
        <f ca="1">Assumptions!$B$81+Assumptions!$B$82+Assumptions!$B$83+Assumptions!$B$84*(T62+T66)</f>
        <v>2300</v>
      </c>
      <c r="U83" s="12">
        <f ca="1">Assumptions!$B$81+Assumptions!$B$82+Assumptions!$B$83+Assumptions!$B$84*(U62+U66)</f>
        <v>2300</v>
      </c>
      <c r="V83" s="12">
        <f ca="1">Assumptions!$B$81+Assumptions!$B$82+Assumptions!$B$83+Assumptions!$B$84*(V62+V66)</f>
        <v>2300</v>
      </c>
      <c r="W83" s="12">
        <f ca="1">Assumptions!$B$81+Assumptions!$B$82+Assumptions!$B$83+Assumptions!$B$84*(W62+W66)</f>
        <v>2800</v>
      </c>
      <c r="X83" s="12">
        <f ca="1">Assumptions!$B$81+Assumptions!$B$82+Assumptions!$B$83+Assumptions!$B$84*(X62+X66)</f>
        <v>2800</v>
      </c>
      <c r="Y83" s="12">
        <f ca="1">Assumptions!$B$81+Assumptions!$B$82+Assumptions!$B$83+Assumptions!$B$84*(Y62+Y66)</f>
        <v>2800</v>
      </c>
      <c r="Z83" s="12">
        <f ca="1">Assumptions!$B$81+Assumptions!$B$82+Assumptions!$B$83+Assumptions!$B$84*(Z62+Z66)</f>
        <v>2800</v>
      </c>
      <c r="AA83" s="12">
        <f ca="1">Assumptions!$B$81+Assumptions!$B$82+Assumptions!$B$83+Assumptions!$B$84*(AA62+AA66)</f>
        <v>3050</v>
      </c>
      <c r="AB83" s="12">
        <f ca="1">Assumptions!$B$81+Assumptions!$B$82+Assumptions!$B$83+Assumptions!$B$84*(AB62+AB66)</f>
        <v>3050</v>
      </c>
      <c r="AC83" s="12">
        <f ca="1">Assumptions!$B$81+Assumptions!$B$82+Assumptions!$B$83+Assumptions!$B$84*(AC62+AC66)</f>
        <v>3050</v>
      </c>
      <c r="AD83" s="12">
        <f ca="1">Assumptions!$B$81+Assumptions!$B$82+Assumptions!$B$83+Assumptions!$B$84*(AD62+AD66)</f>
        <v>3050</v>
      </c>
      <c r="AE83" s="12">
        <f ca="1">Assumptions!$B$81+Assumptions!$B$82+Assumptions!$B$83+Assumptions!$B$84*(AE62+AE66)</f>
        <v>3050</v>
      </c>
      <c r="AF83" s="12">
        <f ca="1">Assumptions!$B$81+Assumptions!$B$82+Assumptions!$B$83+Assumptions!$B$84*(AF62+AF66)</f>
        <v>3300</v>
      </c>
      <c r="AG83" s="12">
        <f ca="1">Assumptions!$B$81+Assumptions!$B$82+Assumptions!$B$83+Assumptions!$B$84*(AG62+AG66)</f>
        <v>3300</v>
      </c>
      <c r="AH83" s="12">
        <f ca="1">Assumptions!$B$81+Assumptions!$B$82+Assumptions!$B$83+Assumptions!$B$84*(AH62+AH66)</f>
        <v>3300</v>
      </c>
      <c r="AI83" s="12">
        <f ca="1">Assumptions!$B$81+Assumptions!$B$82+Assumptions!$B$83+Assumptions!$B$84*(AI62+AI66)</f>
        <v>3300</v>
      </c>
      <c r="AJ83" s="12">
        <f ca="1">Assumptions!$B$81+Assumptions!$B$82+Assumptions!$B$83+Assumptions!$B$84*(AJ62+AJ66)</f>
        <v>3300</v>
      </c>
      <c r="AK83" s="12">
        <f ca="1">Assumptions!$B$81+Assumptions!$B$82+Assumptions!$B$83+Assumptions!$B$84*(AK62+AK66)</f>
        <v>3300</v>
      </c>
      <c r="AL83" s="12">
        <f ca="1">Assumptions!$B$81+Assumptions!$B$82+Assumptions!$B$83+Assumptions!$B$84*(AL62+AL66)</f>
        <v>3300</v>
      </c>
    </row>
    <row r="84" spans="1:38" x14ac:dyDescent="0.25">
      <c r="A84" s="3" t="s">
        <v>358</v>
      </c>
      <c r="C84" s="42">
        <f t="shared" ref="C84:AL84" ca="1" si="30">SUM(C80:C83)</f>
        <v>4950</v>
      </c>
      <c r="D84" s="42">
        <f t="shared" ca="1" si="30"/>
        <v>4950</v>
      </c>
      <c r="E84" s="42">
        <f t="shared" ca="1" si="30"/>
        <v>12750</v>
      </c>
      <c r="F84" s="42">
        <f t="shared" ca="1" si="30"/>
        <v>4950</v>
      </c>
      <c r="G84" s="42">
        <f t="shared" ca="1" si="30"/>
        <v>9950</v>
      </c>
      <c r="H84" s="42">
        <f t="shared" ca="1" si="30"/>
        <v>5950</v>
      </c>
      <c r="I84" s="42">
        <f t="shared" ca="1" si="30"/>
        <v>4950</v>
      </c>
      <c r="J84" s="42">
        <f t="shared" ca="1" si="30"/>
        <v>4950</v>
      </c>
      <c r="K84" s="42">
        <f t="shared" ca="1" si="30"/>
        <v>8950</v>
      </c>
      <c r="L84" s="42">
        <f t="shared" ca="1" si="30"/>
        <v>7450</v>
      </c>
      <c r="M84" s="42">
        <f t="shared" ca="1" si="30"/>
        <v>5950</v>
      </c>
      <c r="N84" s="42">
        <f t="shared" ca="1" si="30"/>
        <v>5950</v>
      </c>
      <c r="O84" s="42">
        <f t="shared" ca="1" si="30"/>
        <v>6950</v>
      </c>
      <c r="P84" s="42">
        <f t="shared" ca="1" si="30"/>
        <v>6950</v>
      </c>
      <c r="Q84" s="42">
        <f t="shared" ca="1" si="30"/>
        <v>14750</v>
      </c>
      <c r="R84" s="42">
        <f t="shared" ca="1" si="30"/>
        <v>6950</v>
      </c>
      <c r="S84" s="42">
        <f t="shared" ca="1" si="30"/>
        <v>11950</v>
      </c>
      <c r="T84" s="42">
        <f t="shared" ca="1" si="30"/>
        <v>7950</v>
      </c>
      <c r="U84" s="42">
        <f t="shared" ca="1" si="30"/>
        <v>6950</v>
      </c>
      <c r="V84" s="42">
        <f t="shared" ca="1" si="30"/>
        <v>6950</v>
      </c>
      <c r="W84" s="42">
        <f t="shared" ca="1" si="30"/>
        <v>10450</v>
      </c>
      <c r="X84" s="42">
        <f t="shared" ca="1" si="30"/>
        <v>8950</v>
      </c>
      <c r="Y84" s="42">
        <f t="shared" ca="1" si="30"/>
        <v>7450</v>
      </c>
      <c r="Z84" s="42">
        <f t="shared" ca="1" si="30"/>
        <v>7450</v>
      </c>
      <c r="AA84" s="42">
        <f t="shared" ca="1" si="30"/>
        <v>8450</v>
      </c>
      <c r="AB84" s="42">
        <f t="shared" ca="1" si="30"/>
        <v>8450</v>
      </c>
      <c r="AC84" s="42">
        <f t="shared" ca="1" si="30"/>
        <v>16250</v>
      </c>
      <c r="AD84" s="42">
        <f t="shared" ca="1" si="30"/>
        <v>8450</v>
      </c>
      <c r="AE84" s="42">
        <f t="shared" ca="1" si="30"/>
        <v>13450</v>
      </c>
      <c r="AF84" s="42">
        <f t="shared" ca="1" si="30"/>
        <v>9700</v>
      </c>
      <c r="AG84" s="42">
        <f t="shared" ca="1" si="30"/>
        <v>8700</v>
      </c>
      <c r="AH84" s="42">
        <f t="shared" ca="1" si="30"/>
        <v>8700</v>
      </c>
      <c r="AI84" s="42">
        <f t="shared" ca="1" si="30"/>
        <v>11700</v>
      </c>
      <c r="AJ84" s="42">
        <f t="shared" ca="1" si="30"/>
        <v>10200</v>
      </c>
      <c r="AK84" s="42">
        <f t="shared" ca="1" si="30"/>
        <v>8700</v>
      </c>
      <c r="AL84" s="42">
        <f t="shared" ca="1" si="30"/>
        <v>8700</v>
      </c>
    </row>
    <row r="86" spans="1:38" x14ac:dyDescent="0.25">
      <c r="A86" s="5" t="s">
        <v>359</v>
      </c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</row>
    <row r="87" spans="1:38" x14ac:dyDescent="0.25">
      <c r="A87" s="3" t="s">
        <v>44</v>
      </c>
      <c r="C87" s="42">
        <f t="shared" ref="C87:AL87" ca="1" si="31">C70+C77+C84</f>
        <v>34558.333333333328</v>
      </c>
      <c r="D87" s="42">
        <f t="shared" ca="1" si="31"/>
        <v>37358.333333333328</v>
      </c>
      <c r="E87" s="42">
        <f t="shared" ca="1" si="31"/>
        <v>62208.333333333328</v>
      </c>
      <c r="F87" s="42">
        <f t="shared" ca="1" si="31"/>
        <v>44908.333333333328</v>
      </c>
      <c r="G87" s="42">
        <f t="shared" ca="1" si="31"/>
        <v>43208.333333333328</v>
      </c>
      <c r="H87" s="42">
        <f t="shared" ca="1" si="31"/>
        <v>36458.333333333328</v>
      </c>
      <c r="I87" s="42">
        <f t="shared" ca="1" si="31"/>
        <v>35758.333333333328</v>
      </c>
      <c r="J87" s="42">
        <f t="shared" ca="1" si="31"/>
        <v>38308.333333333328</v>
      </c>
      <c r="K87" s="42">
        <f t="shared" ca="1" si="31"/>
        <v>54654.166666666664</v>
      </c>
      <c r="L87" s="42">
        <f t="shared" ca="1" si="31"/>
        <v>43654.166666666664</v>
      </c>
      <c r="M87" s="42">
        <f t="shared" ca="1" si="31"/>
        <v>39654.166666666664</v>
      </c>
      <c r="N87" s="42">
        <f t="shared" ca="1" si="31"/>
        <v>54704.166666666664</v>
      </c>
      <c r="O87" s="42">
        <f t="shared" ca="1" si="31"/>
        <v>54100</v>
      </c>
      <c r="P87" s="42">
        <f t="shared" ca="1" si="31"/>
        <v>54150</v>
      </c>
      <c r="Q87" s="42">
        <f t="shared" ca="1" si="31"/>
        <v>64500</v>
      </c>
      <c r="R87" s="42">
        <f t="shared" ca="1" si="31"/>
        <v>63950</v>
      </c>
      <c r="S87" s="42">
        <f t="shared" ca="1" si="31"/>
        <v>69250</v>
      </c>
      <c r="T87" s="42">
        <f t="shared" ca="1" si="31"/>
        <v>86350</v>
      </c>
      <c r="U87" s="42">
        <f t="shared" ca="1" si="31"/>
        <v>75150</v>
      </c>
      <c r="V87" s="42">
        <f t="shared" ca="1" si="31"/>
        <v>61500</v>
      </c>
      <c r="W87" s="42">
        <f t="shared" ca="1" si="31"/>
        <v>81225</v>
      </c>
      <c r="X87" s="42">
        <f t="shared" ca="1" si="31"/>
        <v>80025</v>
      </c>
      <c r="Y87" s="42">
        <f t="shared" ca="1" si="31"/>
        <v>81625</v>
      </c>
      <c r="Z87" s="42">
        <f t="shared" ca="1" si="31"/>
        <v>78875</v>
      </c>
      <c r="AA87" s="42">
        <f t="shared" ca="1" si="31"/>
        <v>83570.833333333328</v>
      </c>
      <c r="AB87" s="42">
        <f t="shared" ca="1" si="31"/>
        <v>88120.833333333328</v>
      </c>
      <c r="AC87" s="42">
        <f t="shared" ca="1" si="31"/>
        <v>108770.83333333333</v>
      </c>
      <c r="AD87" s="42">
        <f t="shared" ca="1" si="31"/>
        <v>91820.833333333328</v>
      </c>
      <c r="AE87" s="42">
        <f t="shared" ca="1" si="31"/>
        <v>99620.833333333328</v>
      </c>
      <c r="AF87" s="42">
        <f t="shared" ca="1" si="31"/>
        <v>135308.33333333331</v>
      </c>
      <c r="AG87" s="42">
        <f t="shared" ca="1" si="31"/>
        <v>96858.333333333328</v>
      </c>
      <c r="AH87" s="42">
        <f t="shared" ca="1" si="31"/>
        <v>105258.33333333333</v>
      </c>
      <c r="AI87" s="42">
        <f t="shared" ca="1" si="31"/>
        <v>113058.33333333333</v>
      </c>
      <c r="AJ87" s="42">
        <f t="shared" ca="1" si="31"/>
        <v>102408.33333333333</v>
      </c>
      <c r="AK87" s="42">
        <f t="shared" ca="1" si="31"/>
        <v>103758.33333333333</v>
      </c>
      <c r="AL87" s="42">
        <f t="shared" ca="1" si="31"/>
        <v>101558.33333333333</v>
      </c>
    </row>
    <row r="88" spans="1:38" x14ac:dyDescent="0.25">
      <c r="A88" s="3" t="s">
        <v>45</v>
      </c>
      <c r="C88" s="42">
        <f t="shared" ref="C88:AL88" ca="1" si="32">C55-C87</f>
        <v>15441.666666666672</v>
      </c>
      <c r="D88" s="42">
        <f t="shared" ca="1" si="32"/>
        <v>-25691.666666666664</v>
      </c>
      <c r="E88" s="42">
        <f t="shared" ca="1" si="32"/>
        <v>-71375</v>
      </c>
      <c r="F88" s="42">
        <f t="shared" ca="1" si="32"/>
        <v>-30324.999999999993</v>
      </c>
      <c r="G88" s="42">
        <f t="shared" ca="1" si="32"/>
        <v>-16958.333333333328</v>
      </c>
      <c r="H88" s="42">
        <f t="shared" ca="1" si="32"/>
        <v>-10208.333333333328</v>
      </c>
      <c r="I88" s="42">
        <f t="shared" ca="1" si="32"/>
        <v>-27841.666666666661</v>
      </c>
      <c r="J88" s="42">
        <f t="shared" ca="1" si="32"/>
        <v>-8724.9999999999927</v>
      </c>
      <c r="K88" s="42">
        <f t="shared" ca="1" si="32"/>
        <v>-31320.833333333328</v>
      </c>
      <c r="L88" s="42">
        <f t="shared" ca="1" si="32"/>
        <v>-10320.833333333328</v>
      </c>
      <c r="M88" s="42">
        <f t="shared" ca="1" si="32"/>
        <v>-16320.833333333328</v>
      </c>
      <c r="N88" s="42">
        <f t="shared" ca="1" si="32"/>
        <v>-25954.166666666664</v>
      </c>
      <c r="O88" s="42">
        <f t="shared" ca="1" si="32"/>
        <v>-3683.3333333333358</v>
      </c>
      <c r="P88" s="42">
        <f t="shared" ca="1" si="32"/>
        <v>-2066.6666666666642</v>
      </c>
      <c r="Q88" s="42">
        <f t="shared" ca="1" si="32"/>
        <v>-10750</v>
      </c>
      <c r="R88" s="42">
        <f t="shared" ca="1" si="32"/>
        <v>-16450</v>
      </c>
      <c r="S88" s="42">
        <f t="shared" ca="1" si="32"/>
        <v>-16333.333333333328</v>
      </c>
      <c r="T88" s="42">
        <f t="shared" ca="1" si="32"/>
        <v>-20100</v>
      </c>
      <c r="U88" s="42">
        <f t="shared" ca="1" si="32"/>
        <v>266.66666666667152</v>
      </c>
      <c r="V88" s="42">
        <f t="shared" ca="1" si="32"/>
        <v>27250</v>
      </c>
      <c r="W88" s="42">
        <f t="shared" ca="1" si="32"/>
        <v>2941.6666666666715</v>
      </c>
      <c r="X88" s="42">
        <f t="shared" ca="1" si="32"/>
        <v>9558.3333333333285</v>
      </c>
      <c r="Y88" s="42">
        <f t="shared" ca="1" si="32"/>
        <v>5041.6666666666715</v>
      </c>
      <c r="Z88" s="42">
        <f t="shared" ca="1" si="32"/>
        <v>17791.666666666672</v>
      </c>
      <c r="AA88" s="42">
        <f t="shared" ca="1" si="32"/>
        <v>36429.166666666672</v>
      </c>
      <c r="AB88" s="42">
        <f t="shared" ca="1" si="32"/>
        <v>27295.833333333328</v>
      </c>
      <c r="AC88" s="42">
        <f t="shared" ca="1" si="32"/>
        <v>17479.166666666672</v>
      </c>
      <c r="AD88" s="42">
        <f t="shared" ca="1" si="32"/>
        <v>31512.500000000015</v>
      </c>
      <c r="AE88" s="42">
        <f t="shared" ca="1" si="32"/>
        <v>49129.166666666672</v>
      </c>
      <c r="AF88" s="42">
        <f t="shared" ca="1" si="32"/>
        <v>17191.666666666686</v>
      </c>
      <c r="AG88" s="42">
        <f t="shared" ca="1" si="32"/>
        <v>71058.333333333328</v>
      </c>
      <c r="AH88" s="42">
        <f t="shared" ca="1" si="32"/>
        <v>71408.333333333328</v>
      </c>
      <c r="AI88" s="42">
        <f t="shared" ca="1" si="32"/>
        <v>62774.999999999985</v>
      </c>
      <c r="AJ88" s="42">
        <f t="shared" ca="1" si="32"/>
        <v>90508.333333333328</v>
      </c>
      <c r="AK88" s="42">
        <f t="shared" ca="1" si="32"/>
        <v>96241.666666666672</v>
      </c>
      <c r="AL88" s="42">
        <f t="shared" ca="1" si="32"/>
        <v>93858.333333333328</v>
      </c>
    </row>
    <row r="89" spans="1:38" x14ac:dyDescent="0.25">
      <c r="A89" s="2" t="s">
        <v>360</v>
      </c>
      <c r="C89" s="38">
        <f ca="1">IF(COUNTIF(C88:$AL$88,"&lt;0")=0,C6,999)</f>
        <v>999</v>
      </c>
      <c r="D89" s="38">
        <f ca="1">IF(COUNTIF(D88:$AL$88,"&lt;0")=0,D6,999)</f>
        <v>999</v>
      </c>
      <c r="E89" s="38">
        <f ca="1">IF(COUNTIF(E88:$AL$88,"&lt;0")=0,E6,999)</f>
        <v>999</v>
      </c>
      <c r="F89" s="38">
        <f ca="1">IF(COUNTIF(F88:$AL$88,"&lt;0")=0,F6,999)</f>
        <v>999</v>
      </c>
      <c r="G89" s="38">
        <f ca="1">IF(COUNTIF(G88:$AL$88,"&lt;0")=0,G6,999)</f>
        <v>999</v>
      </c>
      <c r="H89" s="38">
        <f ca="1">IF(COUNTIF(H88:$AL$88,"&lt;0")=0,H6,999)</f>
        <v>999</v>
      </c>
      <c r="I89" s="38">
        <f ca="1">IF(COUNTIF(I88:$AL$88,"&lt;0")=0,I6,999)</f>
        <v>999</v>
      </c>
      <c r="J89" s="38">
        <f ca="1">IF(COUNTIF(J88:$AL$88,"&lt;0")=0,J6,999)</f>
        <v>999</v>
      </c>
      <c r="K89" s="38">
        <f ca="1">IF(COUNTIF(K88:$AL$88,"&lt;0")=0,K6,999)</f>
        <v>999</v>
      </c>
      <c r="L89" s="38">
        <f ca="1">IF(COUNTIF(L88:$AL$88,"&lt;0")=0,L6,999)</f>
        <v>999</v>
      </c>
      <c r="M89" s="38">
        <f ca="1">IF(COUNTIF(M88:$AL$88,"&lt;0")=0,M6,999)</f>
        <v>999</v>
      </c>
      <c r="N89" s="38">
        <f ca="1">IF(COUNTIF(N88:$AL$88,"&lt;0")=0,N6,999)</f>
        <v>999</v>
      </c>
      <c r="O89" s="38">
        <f ca="1">IF(COUNTIF(O88:$AL$88,"&lt;0")=0,O6,999)</f>
        <v>999</v>
      </c>
      <c r="P89" s="38">
        <f ca="1">IF(COUNTIF(P88:$AL$88,"&lt;0")=0,P6,999)</f>
        <v>999</v>
      </c>
      <c r="Q89" s="38">
        <f ca="1">IF(COUNTIF(Q88:$AL$88,"&lt;0")=0,Q6,999)</f>
        <v>999</v>
      </c>
      <c r="R89" s="38">
        <f ca="1">IF(COUNTIF(R88:$AL$88,"&lt;0")=0,R6,999)</f>
        <v>999</v>
      </c>
      <c r="S89" s="38">
        <f ca="1">IF(COUNTIF(S88:$AL$88,"&lt;0")=0,S6,999)</f>
        <v>999</v>
      </c>
      <c r="T89" s="38">
        <f ca="1">IF(COUNTIF(T88:$AL$88,"&lt;0")=0,T6,999)</f>
        <v>999</v>
      </c>
      <c r="U89" s="38">
        <f ca="1">IF(COUNTIF(U88:$AL$88,"&lt;0")=0,U6,999)</f>
        <v>19</v>
      </c>
      <c r="V89" s="38">
        <f ca="1">IF(COUNTIF(V88:$AL$88,"&lt;0")=0,V6,999)</f>
        <v>20</v>
      </c>
      <c r="W89" s="38">
        <f ca="1">IF(COUNTIF(W88:$AL$88,"&lt;0")=0,W6,999)</f>
        <v>21</v>
      </c>
      <c r="X89" s="38">
        <f ca="1">IF(COUNTIF(X88:$AL$88,"&lt;0")=0,X6,999)</f>
        <v>22</v>
      </c>
      <c r="Y89" s="38">
        <f ca="1">IF(COUNTIF(Y88:$AL$88,"&lt;0")=0,Y6,999)</f>
        <v>23</v>
      </c>
      <c r="Z89" s="38">
        <f ca="1">IF(COUNTIF(Z88:$AL$88,"&lt;0")=0,Z6,999)</f>
        <v>24</v>
      </c>
      <c r="AA89" s="38">
        <f ca="1">IF(COUNTIF(AA88:$AL$88,"&lt;0")=0,AA6,999)</f>
        <v>25</v>
      </c>
      <c r="AB89" s="38">
        <f ca="1">IF(COUNTIF(AB88:$AL$88,"&lt;0")=0,AB6,999)</f>
        <v>26</v>
      </c>
      <c r="AC89" s="38">
        <f ca="1">IF(COUNTIF(AC88:$AL$88,"&lt;0")=0,AC6,999)</f>
        <v>27</v>
      </c>
      <c r="AD89" s="38">
        <f ca="1">IF(COUNTIF(AD88:$AL$88,"&lt;0")=0,AD6,999)</f>
        <v>28</v>
      </c>
      <c r="AE89" s="38">
        <f ca="1">IF(COUNTIF(AE88:$AL$88,"&lt;0")=0,AE6,999)</f>
        <v>29</v>
      </c>
      <c r="AF89" s="38">
        <f ca="1">IF(COUNTIF(AF88:$AL$88,"&lt;0")=0,AF6,999)</f>
        <v>30</v>
      </c>
      <c r="AG89" s="38">
        <f ca="1">IF(COUNTIF(AG88:$AL$88,"&lt;0")=0,AG6,999)</f>
        <v>31</v>
      </c>
      <c r="AH89" s="38">
        <f ca="1">IF(COUNTIF(AH88:$AL$88,"&lt;0")=0,AH6,999)</f>
        <v>32</v>
      </c>
      <c r="AI89" s="38">
        <f ca="1">IF(COUNTIF(AI88:$AL$88,"&lt;0")=0,AI6,999)</f>
        <v>33</v>
      </c>
      <c r="AJ89" s="38">
        <f ca="1">IF(COUNTIF(AJ88:$AL$88,"&lt;0")=0,AJ6,999)</f>
        <v>34</v>
      </c>
      <c r="AK89" s="38">
        <f ca="1">IF(COUNTIF(AK88:$AL$88,"&lt;0")=0,AK6,999)</f>
        <v>35</v>
      </c>
      <c r="AL89" s="38">
        <f ca="1">IF(COUNTIF(AL88:$AL$88,"&lt;0")=0,AL6,999)</f>
        <v>36</v>
      </c>
    </row>
    <row r="91" spans="1:38" x14ac:dyDescent="0.25">
      <c r="A91" s="5" t="s">
        <v>47</v>
      </c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</row>
    <row r="92" spans="1:38" x14ac:dyDescent="0.25">
      <c r="A92" s="2" t="s">
        <v>361</v>
      </c>
      <c r="C92" s="12">
        <f ca="1">C55*Assumptions!$B$107</f>
        <v>10000</v>
      </c>
      <c r="D92" s="12">
        <f ca="1">D55*Assumptions!$B$107</f>
        <v>2333.3333333333335</v>
      </c>
      <c r="E92" s="12">
        <f ca="1">E55*Assumptions!$B$107</f>
        <v>-1833.3333333333337</v>
      </c>
      <c r="F92" s="12">
        <f ca="1">F55*Assumptions!$B$107</f>
        <v>2916.666666666667</v>
      </c>
      <c r="G92" s="12">
        <f ca="1">G55*Assumptions!$B$107</f>
        <v>5250</v>
      </c>
      <c r="H92" s="12">
        <f ca="1">H55*Assumptions!$B$107</f>
        <v>5250</v>
      </c>
      <c r="I92" s="12">
        <f ca="1">I55*Assumptions!$B$107</f>
        <v>1583.3333333333335</v>
      </c>
      <c r="J92" s="12">
        <f ca="1">J55*Assumptions!$B$107</f>
        <v>5916.6666666666679</v>
      </c>
      <c r="K92" s="12">
        <f ca="1">K55*Assumptions!$B$107</f>
        <v>4666.666666666667</v>
      </c>
      <c r="L92" s="12">
        <f ca="1">L55*Assumptions!$B$107</f>
        <v>6666.6666666666679</v>
      </c>
      <c r="M92" s="12">
        <f ca="1">M55*Assumptions!$B$107</f>
        <v>4666.666666666667</v>
      </c>
      <c r="N92" s="12">
        <f ca="1">N55*Assumptions!$B$107</f>
        <v>5750</v>
      </c>
      <c r="O92" s="12">
        <f ca="1">O55*Assumptions!$B$107</f>
        <v>10083.333333333334</v>
      </c>
      <c r="P92" s="12">
        <f ca="1">P55*Assumptions!$B$107</f>
        <v>10416.666666666668</v>
      </c>
      <c r="Q92" s="12">
        <f ca="1">Q55*Assumptions!$B$107</f>
        <v>10750</v>
      </c>
      <c r="R92" s="12">
        <f ca="1">R55*Assumptions!$B$107</f>
        <v>9500</v>
      </c>
      <c r="S92" s="12">
        <f ca="1">S55*Assumptions!$B$107</f>
        <v>10583.333333333336</v>
      </c>
      <c r="T92" s="12">
        <f ca="1">T55*Assumptions!$B$107</f>
        <v>13250</v>
      </c>
      <c r="U92" s="12">
        <f ca="1">U55*Assumptions!$B$107</f>
        <v>15083.333333333336</v>
      </c>
      <c r="V92" s="12">
        <f ca="1">V55*Assumptions!$B$107</f>
        <v>17750</v>
      </c>
      <c r="W92" s="12">
        <f ca="1">W55*Assumptions!$B$107</f>
        <v>16833.333333333336</v>
      </c>
      <c r="X92" s="12">
        <f ca="1">X55*Assumptions!$B$107</f>
        <v>17916.666666666668</v>
      </c>
      <c r="Y92" s="12">
        <f ca="1">Y55*Assumptions!$B$107</f>
        <v>17333.333333333336</v>
      </c>
      <c r="Z92" s="12">
        <f ca="1">Z55*Assumptions!$B$107</f>
        <v>19333.333333333336</v>
      </c>
      <c r="AA92" s="12">
        <f ca="1">AA55*Assumptions!$B$107</f>
        <v>24000</v>
      </c>
      <c r="AB92" s="12">
        <f ca="1">AB55*Assumptions!$B$107</f>
        <v>23083.333333333332</v>
      </c>
      <c r="AC92" s="12">
        <f ca="1">AC55*Assumptions!$B$107</f>
        <v>25250</v>
      </c>
      <c r="AD92" s="12">
        <f ca="1">AD55*Assumptions!$B$107</f>
        <v>24666.666666666672</v>
      </c>
      <c r="AE92" s="12">
        <f ca="1">AE55*Assumptions!$B$107</f>
        <v>29750</v>
      </c>
      <c r="AF92" s="12">
        <f ca="1">AF55*Assumptions!$B$107</f>
        <v>30500</v>
      </c>
      <c r="AG92" s="12">
        <f ca="1">AG55*Assumptions!$B$107</f>
        <v>33583.333333333336</v>
      </c>
      <c r="AH92" s="12">
        <f ca="1">AH55*Assumptions!$B$107</f>
        <v>35333.333333333336</v>
      </c>
      <c r="AI92" s="12">
        <f ca="1">AI55*Assumptions!$B$107</f>
        <v>35166.666666666664</v>
      </c>
      <c r="AJ92" s="12">
        <f ca="1">AJ55*Assumptions!$B$107</f>
        <v>38583.333333333336</v>
      </c>
      <c r="AK92" s="12">
        <f ca="1">AK55*Assumptions!$B$107</f>
        <v>40000</v>
      </c>
      <c r="AL92" s="12">
        <f ca="1">AL55*Assumptions!$B$107</f>
        <v>39083.333333333336</v>
      </c>
    </row>
    <row r="93" spans="1:38" x14ac:dyDescent="0.25">
      <c r="A93" s="2" t="s">
        <v>362</v>
      </c>
      <c r="C93" s="12">
        <f ca="1">(C77+C84)*Assumptions!$B$108*Assumptions!$B$107</f>
        <v>1630</v>
      </c>
      <c r="D93" s="12">
        <f ca="1">(D77+D84)*Assumptions!$B$108*Assumptions!$B$107</f>
        <v>1790</v>
      </c>
      <c r="E93" s="12">
        <f ca="1">(E77+E84)*Assumptions!$B$108*Assumptions!$B$107</f>
        <v>4960</v>
      </c>
      <c r="F93" s="12">
        <f ca="1">(F77+F84)*Assumptions!$B$108*Assumptions!$B$107</f>
        <v>2800</v>
      </c>
      <c r="G93" s="12">
        <f ca="1">(G77+G84)*Assumptions!$B$108*Assumptions!$B$107</f>
        <v>2960</v>
      </c>
      <c r="H93" s="12">
        <f ca="1">(H77+H84)*Assumptions!$B$108*Assumptions!$B$107</f>
        <v>2010</v>
      </c>
      <c r="I93" s="12">
        <f ca="1">(I77+I84)*Assumptions!$B$108*Assumptions!$B$107</f>
        <v>1470</v>
      </c>
      <c r="J93" s="12">
        <f ca="1">(J77+J84)*Assumptions!$B$108*Assumptions!$B$107</f>
        <v>1980</v>
      </c>
      <c r="K93" s="12">
        <f ca="1">(K77+K84)*Assumptions!$B$108*Assumptions!$B$107</f>
        <v>3680</v>
      </c>
      <c r="L93" s="12">
        <f ca="1">(L77+L84)*Assumptions!$B$108*Assumptions!$B$107</f>
        <v>2380</v>
      </c>
      <c r="M93" s="12">
        <f ca="1">(M77+M84)*Assumptions!$B$108*Assumptions!$B$107</f>
        <v>1580</v>
      </c>
      <c r="N93" s="12">
        <f ca="1">(N77+N84)*Assumptions!$B$108*Assumptions!$B$107</f>
        <v>3290</v>
      </c>
      <c r="O93" s="12">
        <f ca="1">(O77+O84)*Assumptions!$B$108*Assumptions!$B$107</f>
        <v>3000</v>
      </c>
      <c r="P93" s="12">
        <f ca="1">(P77+P84)*Assumptions!$B$108*Assumptions!$B$107</f>
        <v>3010</v>
      </c>
      <c r="Q93" s="12">
        <f ca="1">(Q77+Q84)*Assumptions!$B$108*Assumptions!$B$107</f>
        <v>5080</v>
      </c>
      <c r="R93" s="12">
        <f ca="1">(R77+R84)*Assumptions!$B$108*Assumptions!$B$107</f>
        <v>4070</v>
      </c>
      <c r="S93" s="12">
        <f ca="1">(S77+S84)*Assumptions!$B$108*Assumptions!$B$107</f>
        <v>5130</v>
      </c>
      <c r="T93" s="12">
        <f ca="1">(T77+T84)*Assumptions!$B$108*Assumptions!$B$107</f>
        <v>6650</v>
      </c>
      <c r="U93" s="12">
        <f ca="1">(U77+U84)*Assumptions!$B$108*Assumptions!$B$107</f>
        <v>5410</v>
      </c>
      <c r="V93" s="12">
        <f ca="1">(V77+V84)*Assumptions!$B$108*Assumptions!$B$107</f>
        <v>4080</v>
      </c>
      <c r="W93" s="12">
        <f ca="1">(W77+W84)*Assumptions!$B$108*Assumptions!$B$107</f>
        <v>5190</v>
      </c>
      <c r="X93" s="12">
        <f ca="1">(X77+X84)*Assumptions!$B$108*Assumptions!$B$107</f>
        <v>4950</v>
      </c>
      <c r="Y93" s="12">
        <f ca="1">(Y77+Y84)*Assumptions!$B$108*Assumptions!$B$107</f>
        <v>4870</v>
      </c>
      <c r="Z93" s="12">
        <f ca="1">(Z77+Z84)*Assumptions!$B$108*Assumptions!$B$107</f>
        <v>4720</v>
      </c>
      <c r="AA93" s="12">
        <f ca="1">(AA77+AA84)*Assumptions!$B$108*Assumptions!$B$107</f>
        <v>5090</v>
      </c>
      <c r="AB93" s="12">
        <f ca="1">(AB77+AB84)*Assumptions!$B$108*Assumptions!$B$107</f>
        <v>5500</v>
      </c>
      <c r="AC93" s="12">
        <f ca="1">(AC77+AC84)*Assumptions!$B$108*Assumptions!$B$107</f>
        <v>8330</v>
      </c>
      <c r="AD93" s="12">
        <f ca="1">(AD77+AD84)*Assumptions!$B$108*Assumptions!$B$107</f>
        <v>5840</v>
      </c>
      <c r="AE93" s="12">
        <f ca="1">(AE77+AE84)*Assumptions!$B$108*Assumptions!$B$107</f>
        <v>7400</v>
      </c>
      <c r="AF93" s="12">
        <f ca="1">(AF77+AF84)*Assumptions!$B$108*Assumptions!$B$107</f>
        <v>9370</v>
      </c>
      <c r="AG93" s="12">
        <f ca="1">(AG77+AG84)*Assumptions!$B$108*Assumptions!$B$107</f>
        <v>6080</v>
      </c>
      <c r="AH93" s="12">
        <f ca="1">(AH77+AH84)*Assumptions!$B$108*Assumptions!$B$107</f>
        <v>6960</v>
      </c>
      <c r="AI93" s="12">
        <f ca="1">(AI77+AI84)*Assumptions!$B$108*Assumptions!$B$107</f>
        <v>8020</v>
      </c>
      <c r="AJ93" s="12">
        <f ca="1">(AJ77+AJ84)*Assumptions!$B$108*Assumptions!$B$107</f>
        <v>6790</v>
      </c>
      <c r="AK93" s="12">
        <f ca="1">(AK77+AK84)*Assumptions!$B$108*Assumptions!$B$107</f>
        <v>7060</v>
      </c>
      <c r="AL93" s="12">
        <f ca="1">(AL77+AL84)*Assumptions!$B$108*Assumptions!$B$107</f>
        <v>6620</v>
      </c>
    </row>
    <row r="94" spans="1:38" x14ac:dyDescent="0.25">
      <c r="A94" s="2" t="s">
        <v>363</v>
      </c>
      <c r="C94" s="12">
        <f t="shared" ref="C94:AL94" ca="1" si="33">C92-C93</f>
        <v>8370</v>
      </c>
      <c r="D94" s="12">
        <f t="shared" ca="1" si="33"/>
        <v>543.33333333333348</v>
      </c>
      <c r="E94" s="12">
        <f t="shared" ca="1" si="33"/>
        <v>-6793.3333333333339</v>
      </c>
      <c r="F94" s="12">
        <f t="shared" ca="1" si="33"/>
        <v>116.66666666666697</v>
      </c>
      <c r="G94" s="12">
        <f t="shared" ca="1" si="33"/>
        <v>2290</v>
      </c>
      <c r="H94" s="12">
        <f t="shared" ca="1" si="33"/>
        <v>3240</v>
      </c>
      <c r="I94" s="12">
        <f t="shared" ca="1" si="33"/>
        <v>113.33333333333348</v>
      </c>
      <c r="J94" s="12">
        <f t="shared" ca="1" si="33"/>
        <v>3936.6666666666679</v>
      </c>
      <c r="K94" s="12">
        <f t="shared" ca="1" si="33"/>
        <v>986.66666666666697</v>
      </c>
      <c r="L94" s="12">
        <f t="shared" ca="1" si="33"/>
        <v>4286.6666666666679</v>
      </c>
      <c r="M94" s="12">
        <f t="shared" ca="1" si="33"/>
        <v>3086.666666666667</v>
      </c>
      <c r="N94" s="12">
        <f t="shared" ca="1" si="33"/>
        <v>2460</v>
      </c>
      <c r="O94" s="12">
        <f t="shared" ca="1" si="33"/>
        <v>7083.3333333333339</v>
      </c>
      <c r="P94" s="12">
        <f t="shared" ca="1" si="33"/>
        <v>7406.6666666666679</v>
      </c>
      <c r="Q94" s="12">
        <f t="shared" ca="1" si="33"/>
        <v>5670</v>
      </c>
      <c r="R94" s="12">
        <f t="shared" ca="1" si="33"/>
        <v>5430</v>
      </c>
      <c r="S94" s="12">
        <f t="shared" ca="1" si="33"/>
        <v>5453.3333333333358</v>
      </c>
      <c r="T94" s="12">
        <f t="shared" ca="1" si="33"/>
        <v>6600</v>
      </c>
      <c r="U94" s="12">
        <f t="shared" ca="1" si="33"/>
        <v>9673.3333333333358</v>
      </c>
      <c r="V94" s="12">
        <f t="shared" ca="1" si="33"/>
        <v>13670</v>
      </c>
      <c r="W94" s="12">
        <f t="shared" ca="1" si="33"/>
        <v>11643.333333333336</v>
      </c>
      <c r="X94" s="12">
        <f t="shared" ca="1" si="33"/>
        <v>12966.666666666668</v>
      </c>
      <c r="Y94" s="12">
        <f t="shared" ca="1" si="33"/>
        <v>12463.333333333336</v>
      </c>
      <c r="Z94" s="12">
        <f t="shared" ca="1" si="33"/>
        <v>14613.333333333336</v>
      </c>
      <c r="AA94" s="12">
        <f t="shared" ca="1" si="33"/>
        <v>18910</v>
      </c>
      <c r="AB94" s="12">
        <f t="shared" ca="1" si="33"/>
        <v>17583.333333333332</v>
      </c>
      <c r="AC94" s="12">
        <f t="shared" ca="1" si="33"/>
        <v>16920</v>
      </c>
      <c r="AD94" s="12">
        <f t="shared" ca="1" si="33"/>
        <v>18826.666666666672</v>
      </c>
      <c r="AE94" s="12">
        <f t="shared" ca="1" si="33"/>
        <v>22350</v>
      </c>
      <c r="AF94" s="12">
        <f t="shared" ca="1" si="33"/>
        <v>21130</v>
      </c>
      <c r="AG94" s="12">
        <f t="shared" ca="1" si="33"/>
        <v>27503.333333333336</v>
      </c>
      <c r="AH94" s="12">
        <f t="shared" ca="1" si="33"/>
        <v>28373.333333333336</v>
      </c>
      <c r="AI94" s="12">
        <f t="shared" ca="1" si="33"/>
        <v>27146.666666666664</v>
      </c>
      <c r="AJ94" s="12">
        <f t="shared" ca="1" si="33"/>
        <v>31793.333333333336</v>
      </c>
      <c r="AK94" s="12">
        <f t="shared" ca="1" si="33"/>
        <v>32940</v>
      </c>
      <c r="AL94" s="12">
        <f t="shared" ca="1" si="33"/>
        <v>32463.333333333336</v>
      </c>
    </row>
    <row r="95" spans="1:38" x14ac:dyDescent="0.25">
      <c r="A95" s="2" t="s">
        <v>364</v>
      </c>
      <c r="C95" s="12">
        <f t="shared" ref="C95:AL95" ca="1" si="34">IF(AND(C6&gt;3,MOD(C6,3)=1),SUM(OFFSET(C94,0,-3,1,3)),0)</f>
        <v>0</v>
      </c>
      <c r="D95" s="12">
        <f t="shared" ca="1" si="34"/>
        <v>0</v>
      </c>
      <c r="E95" s="12">
        <f t="shared" ca="1" si="34"/>
        <v>0</v>
      </c>
      <c r="F95" s="12">
        <f t="shared" ca="1" si="34"/>
        <v>2120</v>
      </c>
      <c r="G95" s="12">
        <f t="shared" ca="1" si="34"/>
        <v>0</v>
      </c>
      <c r="H95" s="12">
        <f t="shared" ca="1" si="34"/>
        <v>0</v>
      </c>
      <c r="I95" s="12">
        <f t="shared" ca="1" si="34"/>
        <v>5646.666666666667</v>
      </c>
      <c r="J95" s="12">
        <f t="shared" ca="1" si="34"/>
        <v>0</v>
      </c>
      <c r="K95" s="12">
        <f t="shared" ca="1" si="34"/>
        <v>0</v>
      </c>
      <c r="L95" s="12">
        <f t="shared" ca="1" si="34"/>
        <v>5036.6666666666679</v>
      </c>
      <c r="M95" s="12">
        <f t="shared" ca="1" si="34"/>
        <v>0</v>
      </c>
      <c r="N95" s="12">
        <f t="shared" ca="1" si="34"/>
        <v>0</v>
      </c>
      <c r="O95" s="12">
        <f t="shared" ca="1" si="34"/>
        <v>9833.3333333333358</v>
      </c>
      <c r="P95" s="12">
        <f t="shared" ca="1" si="34"/>
        <v>0</v>
      </c>
      <c r="Q95" s="12">
        <f t="shared" ca="1" si="34"/>
        <v>0</v>
      </c>
      <c r="R95" s="12">
        <f t="shared" ca="1" si="34"/>
        <v>20160</v>
      </c>
      <c r="S95" s="12">
        <f t="shared" ca="1" si="34"/>
        <v>0</v>
      </c>
      <c r="T95" s="12">
        <f t="shared" ca="1" si="34"/>
        <v>0</v>
      </c>
      <c r="U95" s="12">
        <f t="shared" ca="1" si="34"/>
        <v>17483.333333333336</v>
      </c>
      <c r="V95" s="12">
        <f t="shared" ca="1" si="34"/>
        <v>0</v>
      </c>
      <c r="W95" s="12">
        <f t="shared" ca="1" si="34"/>
        <v>0</v>
      </c>
      <c r="X95" s="12">
        <f t="shared" ca="1" si="34"/>
        <v>34986.666666666672</v>
      </c>
      <c r="Y95" s="12">
        <f t="shared" ca="1" si="34"/>
        <v>0</v>
      </c>
      <c r="Z95" s="12">
        <f t="shared" ca="1" si="34"/>
        <v>0</v>
      </c>
      <c r="AA95" s="12">
        <f t="shared" ca="1" si="34"/>
        <v>40043.333333333343</v>
      </c>
      <c r="AB95" s="12">
        <f t="shared" ca="1" si="34"/>
        <v>0</v>
      </c>
      <c r="AC95" s="12">
        <f t="shared" ca="1" si="34"/>
        <v>0</v>
      </c>
      <c r="AD95" s="12">
        <f t="shared" ca="1" si="34"/>
        <v>53413.333333333328</v>
      </c>
      <c r="AE95" s="12">
        <f t="shared" ca="1" si="34"/>
        <v>0</v>
      </c>
      <c r="AF95" s="12">
        <f t="shared" ca="1" si="34"/>
        <v>0</v>
      </c>
      <c r="AG95" s="12">
        <f t="shared" ca="1" si="34"/>
        <v>62306.666666666672</v>
      </c>
      <c r="AH95" s="12">
        <f t="shared" ca="1" si="34"/>
        <v>0</v>
      </c>
      <c r="AI95" s="12">
        <f t="shared" ca="1" si="34"/>
        <v>0</v>
      </c>
      <c r="AJ95" s="12">
        <f t="shared" ca="1" si="34"/>
        <v>83023.333333333343</v>
      </c>
      <c r="AK95" s="12">
        <f t="shared" ca="1" si="34"/>
        <v>0</v>
      </c>
      <c r="AL95" s="12">
        <f t="shared" ca="1" si="34"/>
        <v>0</v>
      </c>
    </row>
    <row r="96" spans="1:38" x14ac:dyDescent="0.25">
      <c r="A96" s="2" t="s">
        <v>365</v>
      </c>
      <c r="C96" s="12">
        <f>IF(C6=12+Assumptions!$B$110,$C$106,0)+IF(C6=24+Assumptions!$B$110,$D$106,0)</f>
        <v>0</v>
      </c>
      <c r="D96" s="12">
        <f>IF(D6=12+Assumptions!$B$110,$C$106,0)+IF(D6=24+Assumptions!$B$110,$D$106,0)</f>
        <v>0</v>
      </c>
      <c r="E96" s="12">
        <f>IF(E6=12+Assumptions!$B$110,$C$106,0)+IF(E6=24+Assumptions!$B$110,$D$106,0)</f>
        <v>0</v>
      </c>
      <c r="F96" s="12">
        <f>IF(F6=12+Assumptions!$B$110,$C$106,0)+IF(F6=24+Assumptions!$B$110,$D$106,0)</f>
        <v>0</v>
      </c>
      <c r="G96" s="12">
        <f>IF(G6=12+Assumptions!$B$110,$C$106,0)+IF(G6=24+Assumptions!$B$110,$D$106,0)</f>
        <v>0</v>
      </c>
      <c r="H96" s="12">
        <f>IF(H6=12+Assumptions!$B$110,$C$106,0)+IF(H6=24+Assumptions!$B$110,$D$106,0)</f>
        <v>0</v>
      </c>
      <c r="I96" s="12">
        <f>IF(I6=12+Assumptions!$B$110,$C$106,0)+IF(I6=24+Assumptions!$B$110,$D$106,0)</f>
        <v>0</v>
      </c>
      <c r="J96" s="12">
        <f>IF(J6=12+Assumptions!$B$110,$C$106,0)+IF(J6=24+Assumptions!$B$110,$D$106,0)</f>
        <v>0</v>
      </c>
      <c r="K96" s="12">
        <f>IF(K6=12+Assumptions!$B$110,$C$106,0)+IF(K6=24+Assumptions!$B$110,$D$106,0)</f>
        <v>0</v>
      </c>
      <c r="L96" s="12">
        <f>IF(L6=12+Assumptions!$B$110,$C$106,0)+IF(L6=24+Assumptions!$B$110,$D$106,0)</f>
        <v>0</v>
      </c>
      <c r="M96" s="12">
        <f>IF(M6=12+Assumptions!$B$110,$C$106,0)+IF(M6=24+Assumptions!$B$110,$D$106,0)</f>
        <v>0</v>
      </c>
      <c r="N96" s="12">
        <f>IF(N6=12+Assumptions!$B$110,$C$106,0)+IF(N6=24+Assumptions!$B$110,$D$106,0)</f>
        <v>0</v>
      </c>
      <c r="O96" s="12">
        <f>IF(O6=12+Assumptions!$B$110,$C$106,0)+IF(O6=24+Assumptions!$B$110,$D$106,0)</f>
        <v>0</v>
      </c>
      <c r="P96" s="12">
        <f>IF(P6=12+Assumptions!$B$110,$C$106,0)+IF(P6=24+Assumptions!$B$110,$D$106,0)</f>
        <v>0</v>
      </c>
      <c r="Q96" s="12">
        <f>IF(Q6=12+Assumptions!$B$110,$C$106,0)+IF(Q6=24+Assumptions!$B$110,$D$106,0)</f>
        <v>0</v>
      </c>
      <c r="R96" s="12">
        <f>IF(R6=12+Assumptions!$B$110,$C$106,0)+IF(R6=24+Assumptions!$B$110,$D$106,0)</f>
        <v>0</v>
      </c>
      <c r="S96" s="12">
        <f>IF(S6=12+Assumptions!$B$110,$C$106,0)+IF(S6=24+Assumptions!$B$110,$D$106,0)</f>
        <v>0</v>
      </c>
      <c r="T96" s="12">
        <f>IF(T6=12+Assumptions!$B$110,$C$106,0)+IF(T6=24+Assumptions!$B$110,$D$106,0)</f>
        <v>0</v>
      </c>
      <c r="U96" s="12">
        <f>IF(U6=12+Assumptions!$B$110,$C$106,0)+IF(U6=24+Assumptions!$B$110,$D$106,0)</f>
        <v>0</v>
      </c>
      <c r="V96" s="12">
        <f>IF(V6=12+Assumptions!$B$110,$C$106,0)+IF(V6=24+Assumptions!$B$110,$D$106,0)</f>
        <v>0</v>
      </c>
      <c r="W96" s="12">
        <f>IF(W6=12+Assumptions!$B$110,$C$106,0)+IF(W6=24+Assumptions!$B$110,$D$106,0)</f>
        <v>0</v>
      </c>
      <c r="X96" s="12">
        <f ca="1">IF(X6=12+Assumptions!$B$110,$C$106,0)+IF(X6=24+Assumptions!$B$110,$D$106,0)</f>
        <v>0</v>
      </c>
      <c r="Y96" s="12">
        <f>IF(Y6=12+Assumptions!$B$110,$C$106,0)+IF(Y6=24+Assumptions!$B$110,$D$106,0)</f>
        <v>0</v>
      </c>
      <c r="Z96" s="12">
        <f>IF(Z6=12+Assumptions!$B$110,$C$106,0)+IF(Z6=24+Assumptions!$B$110,$D$106,0)</f>
        <v>0</v>
      </c>
      <c r="AA96" s="12">
        <f>IF(AA6=12+Assumptions!$B$110,$C$106,0)+IF(AA6=24+Assumptions!$B$110,$D$106,0)</f>
        <v>0</v>
      </c>
      <c r="AB96" s="12">
        <f>IF(AB6=12+Assumptions!$B$110,$C$106,0)+IF(AB6=24+Assumptions!$B$110,$D$106,0)</f>
        <v>0</v>
      </c>
      <c r="AC96" s="12">
        <f>IF(AC6=12+Assumptions!$B$110,$C$106,0)+IF(AC6=24+Assumptions!$B$110,$D$106,0)</f>
        <v>0</v>
      </c>
      <c r="AD96" s="12">
        <f>IF(AD6=12+Assumptions!$B$110,$C$106,0)+IF(AD6=24+Assumptions!$B$110,$D$106,0)</f>
        <v>0</v>
      </c>
      <c r="AE96" s="12">
        <f>IF(AE6=12+Assumptions!$B$110,$C$106,0)+IF(AE6=24+Assumptions!$B$110,$D$106,0)</f>
        <v>0</v>
      </c>
      <c r="AF96" s="12">
        <f>IF(AF6=12+Assumptions!$B$110,$C$106,0)+IF(AF6=24+Assumptions!$B$110,$D$106,0)</f>
        <v>0</v>
      </c>
      <c r="AG96" s="12">
        <f>IF(AG6=12+Assumptions!$B$110,$C$106,0)+IF(AG6=24+Assumptions!$B$110,$D$106,0)</f>
        <v>0</v>
      </c>
      <c r="AH96" s="12">
        <f>IF(AH6=12+Assumptions!$B$110,$C$106,0)+IF(AH6=24+Assumptions!$B$110,$D$106,0)</f>
        <v>0</v>
      </c>
      <c r="AI96" s="12">
        <f>IF(AI6=12+Assumptions!$B$110,$C$106,0)+IF(AI6=24+Assumptions!$B$110,$D$106,0)</f>
        <v>0</v>
      </c>
      <c r="AJ96" s="12">
        <f ca="1">IF(AJ6=12+Assumptions!$B$110,$C$106,0)+IF(AJ6=24+Assumptions!$B$110,$D$106,0)</f>
        <v>0</v>
      </c>
      <c r="AK96" s="12">
        <f>IF(AK6=12+Assumptions!$B$110,$C$106,0)+IF(AK6=24+Assumptions!$B$110,$D$106,0)</f>
        <v>0</v>
      </c>
      <c r="AL96" s="12">
        <f>IF(AL6=12+Assumptions!$B$110,$C$106,0)+IF(AL6=24+Assumptions!$B$110,$D$106,0)</f>
        <v>0</v>
      </c>
    </row>
    <row r="97" spans="1:38" x14ac:dyDescent="0.25">
      <c r="A97" s="3" t="s">
        <v>366</v>
      </c>
      <c r="C97" s="42">
        <f t="shared" ref="C97:AL97" ca="1" si="35">C88+C92-C93-C95-C96</f>
        <v>23811.666666666672</v>
      </c>
      <c r="D97" s="42">
        <f t="shared" ca="1" si="35"/>
        <v>-25148.333333333332</v>
      </c>
      <c r="E97" s="42">
        <f t="shared" ca="1" si="35"/>
        <v>-78168.333333333328</v>
      </c>
      <c r="F97" s="42">
        <f t="shared" ca="1" si="35"/>
        <v>-32328.333333333325</v>
      </c>
      <c r="G97" s="42">
        <f t="shared" ca="1" si="35"/>
        <v>-14668.333333333328</v>
      </c>
      <c r="H97" s="42">
        <f t="shared" ca="1" si="35"/>
        <v>-6968.3333333333285</v>
      </c>
      <c r="I97" s="42">
        <f t="shared" ca="1" si="35"/>
        <v>-33374.999999999993</v>
      </c>
      <c r="J97" s="42">
        <f t="shared" ca="1" si="35"/>
        <v>-4788.3333333333248</v>
      </c>
      <c r="K97" s="42">
        <f t="shared" ca="1" si="35"/>
        <v>-30334.166666666661</v>
      </c>
      <c r="L97" s="42">
        <f t="shared" ca="1" si="35"/>
        <v>-11070.833333333328</v>
      </c>
      <c r="M97" s="42">
        <f t="shared" ca="1" si="35"/>
        <v>-13234.166666666661</v>
      </c>
      <c r="N97" s="42">
        <f t="shared" ca="1" si="35"/>
        <v>-23494.166666666664</v>
      </c>
      <c r="O97" s="42">
        <f t="shared" ca="1" si="35"/>
        <v>-6433.3333333333376</v>
      </c>
      <c r="P97" s="42">
        <f t="shared" ca="1" si="35"/>
        <v>5340.0000000000036</v>
      </c>
      <c r="Q97" s="42">
        <f t="shared" ca="1" si="35"/>
        <v>-5080</v>
      </c>
      <c r="R97" s="42">
        <f t="shared" ca="1" si="35"/>
        <v>-31180</v>
      </c>
      <c r="S97" s="42">
        <f t="shared" ca="1" si="35"/>
        <v>-10879.999999999993</v>
      </c>
      <c r="T97" s="42">
        <f t="shared" ca="1" si="35"/>
        <v>-13500</v>
      </c>
      <c r="U97" s="42">
        <f t="shared" ca="1" si="35"/>
        <v>-7543.3333333333285</v>
      </c>
      <c r="V97" s="42">
        <f t="shared" ca="1" si="35"/>
        <v>40920</v>
      </c>
      <c r="W97" s="42">
        <f t="shared" ca="1" si="35"/>
        <v>14585.000000000007</v>
      </c>
      <c r="X97" s="42">
        <f t="shared" ca="1" si="35"/>
        <v>-12461.666666666675</v>
      </c>
      <c r="Y97" s="42">
        <f t="shared" ca="1" si="35"/>
        <v>17505.000000000007</v>
      </c>
      <c r="Z97" s="42">
        <f t="shared" ca="1" si="35"/>
        <v>32405.000000000007</v>
      </c>
      <c r="AA97" s="42">
        <f t="shared" ca="1" si="35"/>
        <v>15295.833333333328</v>
      </c>
      <c r="AB97" s="42">
        <f t="shared" ca="1" si="35"/>
        <v>44879.166666666657</v>
      </c>
      <c r="AC97" s="42">
        <f t="shared" ca="1" si="35"/>
        <v>34399.166666666672</v>
      </c>
      <c r="AD97" s="42">
        <f t="shared" ca="1" si="35"/>
        <v>-3074.1666666666424</v>
      </c>
      <c r="AE97" s="42">
        <f t="shared" ca="1" si="35"/>
        <v>71479.166666666672</v>
      </c>
      <c r="AF97" s="42">
        <f t="shared" ca="1" si="35"/>
        <v>38321.666666666686</v>
      </c>
      <c r="AG97" s="42">
        <f t="shared" ca="1" si="35"/>
        <v>36254.999999999985</v>
      </c>
      <c r="AH97" s="42">
        <f t="shared" ca="1" si="35"/>
        <v>99781.666666666657</v>
      </c>
      <c r="AI97" s="42">
        <f t="shared" ca="1" si="35"/>
        <v>89921.666666666657</v>
      </c>
      <c r="AJ97" s="42">
        <f t="shared" ca="1" si="35"/>
        <v>39278.333333333314</v>
      </c>
      <c r="AK97" s="42">
        <f t="shared" ca="1" si="35"/>
        <v>129181.66666666669</v>
      </c>
      <c r="AL97" s="42">
        <f t="shared" ca="1" si="35"/>
        <v>126321.66666666666</v>
      </c>
    </row>
    <row r="98" spans="1:38" x14ac:dyDescent="0.25">
      <c r="A98" s="2" t="s">
        <v>367</v>
      </c>
      <c r="C98" s="12">
        <f ca="1">0+C97</f>
        <v>23811.666666666672</v>
      </c>
      <c r="D98" s="12">
        <f t="shared" ref="D98:AL98" ca="1" si="36">C98+D97</f>
        <v>-1336.6666666666606</v>
      </c>
      <c r="E98" s="12">
        <f t="shared" ca="1" si="36"/>
        <v>-79504.999999999985</v>
      </c>
      <c r="F98" s="12">
        <f t="shared" ca="1" si="36"/>
        <v>-111833.33333333331</v>
      </c>
      <c r="G98" s="12">
        <f t="shared" ca="1" si="36"/>
        <v>-126501.66666666664</v>
      </c>
      <c r="H98" s="12">
        <f t="shared" ca="1" si="36"/>
        <v>-133469.99999999997</v>
      </c>
      <c r="I98" s="12">
        <f t="shared" ca="1" si="36"/>
        <v>-166844.99999999997</v>
      </c>
      <c r="J98" s="12">
        <f t="shared" ca="1" si="36"/>
        <v>-171633.33333333328</v>
      </c>
      <c r="K98" s="12">
        <f t="shared" ca="1" si="36"/>
        <v>-201967.49999999994</v>
      </c>
      <c r="L98" s="12">
        <f t="shared" ca="1" si="36"/>
        <v>-213038.33333333326</v>
      </c>
      <c r="M98" s="12">
        <f t="shared" ca="1" si="36"/>
        <v>-226272.49999999991</v>
      </c>
      <c r="N98" s="12">
        <f t="shared" ca="1" si="36"/>
        <v>-249766.66666666657</v>
      </c>
      <c r="O98" s="12">
        <f t="shared" ca="1" si="36"/>
        <v>-256199.99999999991</v>
      </c>
      <c r="P98" s="12">
        <f t="shared" ca="1" si="36"/>
        <v>-250859.99999999991</v>
      </c>
      <c r="Q98" s="12">
        <f t="shared" ca="1" si="36"/>
        <v>-255939.99999999991</v>
      </c>
      <c r="R98" s="12">
        <f t="shared" ca="1" si="36"/>
        <v>-287119.99999999988</v>
      </c>
      <c r="S98" s="12">
        <f t="shared" ca="1" si="36"/>
        <v>-297999.99999999988</v>
      </c>
      <c r="T98" s="12">
        <f t="shared" ca="1" si="36"/>
        <v>-311499.99999999988</v>
      </c>
      <c r="U98" s="12">
        <f t="shared" ca="1" si="36"/>
        <v>-319043.3333333332</v>
      </c>
      <c r="V98" s="12">
        <f t="shared" ca="1" si="36"/>
        <v>-278123.3333333332</v>
      </c>
      <c r="W98" s="12">
        <f t="shared" ca="1" si="36"/>
        <v>-263538.3333333332</v>
      </c>
      <c r="X98" s="12">
        <f t="shared" ca="1" si="36"/>
        <v>-275999.99999999988</v>
      </c>
      <c r="Y98" s="12">
        <f t="shared" ca="1" si="36"/>
        <v>-258494.99999999988</v>
      </c>
      <c r="Z98" s="12">
        <f t="shared" ca="1" si="36"/>
        <v>-226089.99999999988</v>
      </c>
      <c r="AA98" s="12">
        <f t="shared" ca="1" si="36"/>
        <v>-210794.16666666657</v>
      </c>
      <c r="AB98" s="12">
        <f t="shared" ca="1" si="36"/>
        <v>-165914.99999999991</v>
      </c>
      <c r="AC98" s="12">
        <f t="shared" ca="1" si="36"/>
        <v>-131515.83333333326</v>
      </c>
      <c r="AD98" s="12">
        <f t="shared" ca="1" si="36"/>
        <v>-134589.99999999988</v>
      </c>
      <c r="AE98" s="12">
        <f t="shared" ca="1" si="36"/>
        <v>-63110.833333333212</v>
      </c>
      <c r="AF98" s="12">
        <f t="shared" ca="1" si="36"/>
        <v>-24789.166666666526</v>
      </c>
      <c r="AG98" s="12">
        <f t="shared" ca="1" si="36"/>
        <v>11465.833333333459</v>
      </c>
      <c r="AH98" s="12">
        <f t="shared" ca="1" si="36"/>
        <v>111247.50000000012</v>
      </c>
      <c r="AI98" s="12">
        <f t="shared" ca="1" si="36"/>
        <v>201169.16666666677</v>
      </c>
      <c r="AJ98" s="12">
        <f t="shared" ca="1" si="36"/>
        <v>240447.50000000009</v>
      </c>
      <c r="AK98" s="12">
        <f t="shared" ca="1" si="36"/>
        <v>369629.16666666674</v>
      </c>
      <c r="AL98" s="12">
        <f t="shared" ca="1" si="36"/>
        <v>495950.83333333337</v>
      </c>
    </row>
    <row r="99" spans="1:38" x14ac:dyDescent="0.25">
      <c r="A99" s="3" t="s">
        <v>368</v>
      </c>
      <c r="C99" s="42">
        <f ca="1">Assumptions!$B$113+Assumptions!$B$119+C98</f>
        <v>623811.66666666663</v>
      </c>
      <c r="D99" s="42">
        <f ca="1">Assumptions!$B$113+Assumptions!$B$119+D98</f>
        <v>598663.33333333337</v>
      </c>
      <c r="E99" s="42">
        <f ca="1">Assumptions!$B$113+Assumptions!$B$119+E98</f>
        <v>520495</v>
      </c>
      <c r="F99" s="42">
        <f ca="1">Assumptions!$B$113+Assumptions!$B$119+F98</f>
        <v>488166.66666666669</v>
      </c>
      <c r="G99" s="42">
        <f ca="1">Assumptions!$B$113+Assumptions!$B$119+G98</f>
        <v>473498.33333333337</v>
      </c>
      <c r="H99" s="42">
        <f ca="1">Assumptions!$B$113+Assumptions!$B$119+H98</f>
        <v>466530</v>
      </c>
      <c r="I99" s="42">
        <f ca="1">Assumptions!$B$113+Assumptions!$B$119+I98</f>
        <v>433155</v>
      </c>
      <c r="J99" s="42">
        <f ca="1">Assumptions!$B$113+Assumptions!$B$119+J98</f>
        <v>428366.66666666674</v>
      </c>
      <c r="K99" s="42">
        <f ca="1">Assumptions!$B$113+Assumptions!$B$119+K98</f>
        <v>398032.50000000006</v>
      </c>
      <c r="L99" s="42">
        <f ca="1">Assumptions!$B$113+Assumptions!$B$119+L98</f>
        <v>386961.66666666674</v>
      </c>
      <c r="M99" s="42">
        <f ca="1">Assumptions!$B$113+Assumptions!$B$119+M98</f>
        <v>373727.50000000012</v>
      </c>
      <c r="N99" s="42">
        <f ca="1">Assumptions!$B$113+Assumptions!$B$119+N98</f>
        <v>350233.33333333343</v>
      </c>
      <c r="O99" s="42">
        <f ca="1">Assumptions!$B$113+Assumptions!$B$119+O98</f>
        <v>343800.00000000012</v>
      </c>
      <c r="P99" s="42">
        <f ca="1">Assumptions!$B$113+Assumptions!$B$119+P98</f>
        <v>349140.00000000012</v>
      </c>
      <c r="Q99" s="42">
        <f ca="1">Assumptions!$B$113+Assumptions!$B$119+Q98</f>
        <v>344060.00000000012</v>
      </c>
      <c r="R99" s="42">
        <f ca="1">Assumptions!$B$113+Assumptions!$B$119+R98</f>
        <v>312880.00000000012</v>
      </c>
      <c r="S99" s="42">
        <f ca="1">Assumptions!$B$113+Assumptions!$B$119+S98</f>
        <v>302000.00000000012</v>
      </c>
      <c r="T99" s="42">
        <f ca="1">Assumptions!$B$113+Assumptions!$B$119+T98</f>
        <v>288500.00000000012</v>
      </c>
      <c r="U99" s="42">
        <f ca="1">Assumptions!$B$113+Assumptions!$B$119+U98</f>
        <v>280956.6666666668</v>
      </c>
      <c r="V99" s="42">
        <f ca="1">Assumptions!$B$113+Assumptions!$B$119+V98</f>
        <v>321876.6666666668</v>
      </c>
      <c r="W99" s="42">
        <f ca="1">Assumptions!$B$113+Assumptions!$B$119+W98</f>
        <v>336461.6666666668</v>
      </c>
      <c r="X99" s="42">
        <f ca="1">Assumptions!$B$113+Assumptions!$B$119+X98</f>
        <v>324000.00000000012</v>
      </c>
      <c r="Y99" s="42">
        <f ca="1">Assumptions!$B$113+Assumptions!$B$119+Y98</f>
        <v>341505.00000000012</v>
      </c>
      <c r="Z99" s="42">
        <f ca="1">Assumptions!$B$113+Assumptions!$B$119+Z98</f>
        <v>373910.00000000012</v>
      </c>
      <c r="AA99" s="42">
        <f ca="1">Assumptions!$B$113+Assumptions!$B$119+AA98</f>
        <v>389205.83333333343</v>
      </c>
      <c r="AB99" s="42">
        <f ca="1">Assumptions!$B$113+Assumptions!$B$119+AB98</f>
        <v>434085.00000000012</v>
      </c>
      <c r="AC99" s="42">
        <f ca="1">Assumptions!$B$113+Assumptions!$B$119+AC98</f>
        <v>468484.16666666674</v>
      </c>
      <c r="AD99" s="42">
        <f ca="1">Assumptions!$B$113+Assumptions!$B$119+AD98</f>
        <v>465410.00000000012</v>
      </c>
      <c r="AE99" s="42">
        <f ca="1">Assumptions!$B$113+Assumptions!$B$119+AE98</f>
        <v>536889.16666666674</v>
      </c>
      <c r="AF99" s="42">
        <f ca="1">Assumptions!$B$113+Assumptions!$B$119+AF98</f>
        <v>575210.83333333349</v>
      </c>
      <c r="AG99" s="42">
        <f ca="1">Assumptions!$B$113+Assumptions!$B$119+AG98</f>
        <v>611465.83333333349</v>
      </c>
      <c r="AH99" s="42">
        <f ca="1">Assumptions!$B$113+Assumptions!$B$119+AH98</f>
        <v>711247.50000000012</v>
      </c>
      <c r="AI99" s="42">
        <f ca="1">Assumptions!$B$113+Assumptions!$B$119+AI98</f>
        <v>801169.16666666674</v>
      </c>
      <c r="AJ99" s="42">
        <f ca="1">Assumptions!$B$113+Assumptions!$B$119+AJ98</f>
        <v>840447.50000000012</v>
      </c>
      <c r="AK99" s="42">
        <f ca="1">Assumptions!$B$113+Assumptions!$B$119+AK98</f>
        <v>969629.16666666674</v>
      </c>
      <c r="AL99" s="42">
        <f ca="1">Assumptions!$B$113+Assumptions!$B$119+AL98</f>
        <v>1095950.8333333335</v>
      </c>
    </row>
    <row r="102" spans="1:38" x14ac:dyDescent="0.25">
      <c r="A102" s="5" t="s">
        <v>369</v>
      </c>
      <c r="B102" s="6"/>
      <c r="C102" s="6"/>
      <c r="D102" s="6"/>
      <c r="E102" s="6"/>
    </row>
    <row r="103" spans="1:38" x14ac:dyDescent="0.25">
      <c r="A103" s="3" t="s">
        <v>298</v>
      </c>
      <c r="C103" s="3" t="s">
        <v>20</v>
      </c>
      <c r="D103" s="3" t="s">
        <v>21</v>
      </c>
      <c r="E103" s="3" t="s">
        <v>22</v>
      </c>
    </row>
    <row r="104" spans="1:38" x14ac:dyDescent="0.25">
      <c r="A104" s="2" t="s">
        <v>370</v>
      </c>
      <c r="C104" s="12">
        <f ca="1">SUMIF($C$7:$AL$7,1,$C$88:$AL$88)</f>
        <v>-259599.99999999991</v>
      </c>
      <c r="D104" s="12">
        <f ca="1">SUMIF($C$7:$AL$7,2,$C$88:$AL$88)</f>
        <v>-6533.3333333333139</v>
      </c>
      <c r="E104" s="12">
        <f ca="1">SUMIF($C$7:$AL$7,3,$C$88:$AL$88)</f>
        <v>664887.5</v>
      </c>
    </row>
    <row r="105" spans="1:38" x14ac:dyDescent="0.25">
      <c r="A105" s="2" t="s">
        <v>371</v>
      </c>
      <c r="C105" s="12">
        <f ca="1">C104</f>
        <v>-259599.99999999991</v>
      </c>
      <c r="D105" s="12">
        <f ca="1">C105+D104</f>
        <v>-266133.33333333326</v>
      </c>
      <c r="E105" s="12">
        <f ca="1">D105+E104</f>
        <v>398754.16666666674</v>
      </c>
    </row>
    <row r="106" spans="1:38" x14ac:dyDescent="0.25">
      <c r="A106" s="2" t="s">
        <v>372</v>
      </c>
      <c r="C106" s="12">
        <f ca="1">Assumptions!$B$109*(MAX(0,C105)-MAX(0,0))</f>
        <v>0</v>
      </c>
      <c r="D106" s="12">
        <f ca="1">Assumptions!$B$109*(MAX(0,D105)-MAX(0,C105))</f>
        <v>0</v>
      </c>
      <c r="E106" s="12">
        <f ca="1">Assumptions!$B$109*(MAX(0,E105)-MAX(0,D105))</f>
        <v>99688.541666666686</v>
      </c>
    </row>
    <row r="107" spans="1:38" x14ac:dyDescent="0.25">
      <c r="A107" s="4" t="s">
        <v>373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L107"/>
  <sheetViews>
    <sheetView showGridLines="0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ColWidth="8.7109375" defaultRowHeight="15" outlineLevelRow="1" x14ac:dyDescent="0.25"/>
  <cols>
    <col min="1" max="1" width="50" customWidth="1"/>
    <col min="2" max="2" width="2" customWidth="1"/>
    <col min="3" max="38" width="11" customWidth="1"/>
  </cols>
  <sheetData>
    <row r="1" spans="1:38" ht="18" x14ac:dyDescent="0.25">
      <c r="A1" s="1" t="s">
        <v>374</v>
      </c>
    </row>
    <row r="2" spans="1:38" x14ac:dyDescent="0.25">
      <c r="A2" s="35" t="str">
        <f>" Enterprise delay applied: "&amp;Assumptions!$B$116&amp;" months"</f>
        <v xml:space="preserve"> Enterprise delay applied: 6 months</v>
      </c>
    </row>
    <row r="5" spans="1:38" x14ac:dyDescent="0.25">
      <c r="A5" s="5" t="s">
        <v>297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</row>
    <row r="6" spans="1:38" x14ac:dyDescent="0.25">
      <c r="A6" s="36" t="s">
        <v>91</v>
      </c>
      <c r="C6" s="37">
        <v>1</v>
      </c>
      <c r="D6" s="37">
        <v>2</v>
      </c>
      <c r="E6" s="37">
        <v>3</v>
      </c>
      <c r="F6" s="37">
        <v>4</v>
      </c>
      <c r="G6" s="37">
        <v>5</v>
      </c>
      <c r="H6" s="37">
        <v>6</v>
      </c>
      <c r="I6" s="37">
        <v>7</v>
      </c>
      <c r="J6" s="37">
        <v>8</v>
      </c>
      <c r="K6" s="37">
        <v>9</v>
      </c>
      <c r="L6" s="37">
        <v>10</v>
      </c>
      <c r="M6" s="37">
        <v>11</v>
      </c>
      <c r="N6" s="37">
        <v>12</v>
      </c>
      <c r="O6" s="37">
        <v>13</v>
      </c>
      <c r="P6" s="37">
        <v>14</v>
      </c>
      <c r="Q6" s="37">
        <v>15</v>
      </c>
      <c r="R6" s="37">
        <v>16</v>
      </c>
      <c r="S6" s="37">
        <v>17</v>
      </c>
      <c r="T6" s="37">
        <v>18</v>
      </c>
      <c r="U6" s="37">
        <v>19</v>
      </c>
      <c r="V6" s="37">
        <v>20</v>
      </c>
      <c r="W6" s="37">
        <v>21</v>
      </c>
      <c r="X6" s="37">
        <v>22</v>
      </c>
      <c r="Y6" s="37">
        <v>23</v>
      </c>
      <c r="Z6" s="37">
        <v>24</v>
      </c>
      <c r="AA6" s="37">
        <v>25</v>
      </c>
      <c r="AB6" s="37">
        <v>26</v>
      </c>
      <c r="AC6" s="37">
        <v>27</v>
      </c>
      <c r="AD6" s="37">
        <v>28</v>
      </c>
      <c r="AE6" s="37">
        <v>29</v>
      </c>
      <c r="AF6" s="37">
        <v>30</v>
      </c>
      <c r="AG6" s="37">
        <v>31</v>
      </c>
      <c r="AH6" s="37">
        <v>32</v>
      </c>
      <c r="AI6" s="37">
        <v>33</v>
      </c>
      <c r="AJ6" s="37">
        <v>34</v>
      </c>
      <c r="AK6" s="37">
        <v>35</v>
      </c>
      <c r="AL6" s="37">
        <v>36</v>
      </c>
    </row>
    <row r="7" spans="1:38" x14ac:dyDescent="0.25">
      <c r="A7" s="2" t="s">
        <v>298</v>
      </c>
      <c r="C7" s="38">
        <f t="shared" ref="C7:AL7" si="0">ROUNDUP(C6/12,0)</f>
        <v>1</v>
      </c>
      <c r="D7" s="38">
        <f t="shared" si="0"/>
        <v>1</v>
      </c>
      <c r="E7" s="38">
        <f t="shared" si="0"/>
        <v>1</v>
      </c>
      <c r="F7" s="38">
        <f t="shared" si="0"/>
        <v>1</v>
      </c>
      <c r="G7" s="38">
        <f t="shared" si="0"/>
        <v>1</v>
      </c>
      <c r="H7" s="38">
        <f t="shared" si="0"/>
        <v>1</v>
      </c>
      <c r="I7" s="38">
        <f t="shared" si="0"/>
        <v>1</v>
      </c>
      <c r="J7" s="38">
        <f t="shared" si="0"/>
        <v>1</v>
      </c>
      <c r="K7" s="38">
        <f t="shared" si="0"/>
        <v>1</v>
      </c>
      <c r="L7" s="38">
        <f t="shared" si="0"/>
        <v>1</v>
      </c>
      <c r="M7" s="38">
        <f t="shared" si="0"/>
        <v>1</v>
      </c>
      <c r="N7" s="38">
        <f t="shared" si="0"/>
        <v>1</v>
      </c>
      <c r="O7" s="38">
        <f t="shared" si="0"/>
        <v>2</v>
      </c>
      <c r="P7" s="38">
        <f t="shared" si="0"/>
        <v>2</v>
      </c>
      <c r="Q7" s="38">
        <f t="shared" si="0"/>
        <v>2</v>
      </c>
      <c r="R7" s="38">
        <f t="shared" si="0"/>
        <v>2</v>
      </c>
      <c r="S7" s="38">
        <f t="shared" si="0"/>
        <v>2</v>
      </c>
      <c r="T7" s="38">
        <f t="shared" si="0"/>
        <v>2</v>
      </c>
      <c r="U7" s="38">
        <f t="shared" si="0"/>
        <v>2</v>
      </c>
      <c r="V7" s="38">
        <f t="shared" si="0"/>
        <v>2</v>
      </c>
      <c r="W7" s="38">
        <f t="shared" si="0"/>
        <v>2</v>
      </c>
      <c r="X7" s="38">
        <f t="shared" si="0"/>
        <v>2</v>
      </c>
      <c r="Y7" s="38">
        <f t="shared" si="0"/>
        <v>2</v>
      </c>
      <c r="Z7" s="38">
        <f t="shared" si="0"/>
        <v>2</v>
      </c>
      <c r="AA7" s="38">
        <f t="shared" si="0"/>
        <v>3</v>
      </c>
      <c r="AB7" s="38">
        <f t="shared" si="0"/>
        <v>3</v>
      </c>
      <c r="AC7" s="38">
        <f t="shared" si="0"/>
        <v>3</v>
      </c>
      <c r="AD7" s="38">
        <f t="shared" si="0"/>
        <v>3</v>
      </c>
      <c r="AE7" s="38">
        <f t="shared" si="0"/>
        <v>3</v>
      </c>
      <c r="AF7" s="38">
        <f t="shared" si="0"/>
        <v>3</v>
      </c>
      <c r="AG7" s="38">
        <f t="shared" si="0"/>
        <v>3</v>
      </c>
      <c r="AH7" s="38">
        <f t="shared" si="0"/>
        <v>3</v>
      </c>
      <c r="AI7" s="38">
        <f t="shared" si="0"/>
        <v>3</v>
      </c>
      <c r="AJ7" s="38">
        <f t="shared" si="0"/>
        <v>3</v>
      </c>
      <c r="AK7" s="38">
        <f t="shared" si="0"/>
        <v>3</v>
      </c>
      <c r="AL7" s="38">
        <f t="shared" si="0"/>
        <v>3</v>
      </c>
    </row>
    <row r="9" spans="1:38" x14ac:dyDescent="0.25">
      <c r="A9" s="5" t="s">
        <v>299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</row>
    <row r="10" spans="1:38" hidden="1" outlineLevel="1" x14ac:dyDescent="0.25">
      <c r="A10" s="39" t="s">
        <v>300</v>
      </c>
      <c r="C10" s="40">
        <f>Assumptions!$B$8*Assumptions!$B$12*INDEX(Assumptions!$B$13:$B$15,C7)/12</f>
        <v>12.5</v>
      </c>
      <c r="D10" s="40">
        <f>Assumptions!$B$8*Assumptions!$B$12*INDEX(Assumptions!$B$13:$B$15,D7)/12</f>
        <v>12.5</v>
      </c>
      <c r="E10" s="40">
        <f>Assumptions!$B$8*Assumptions!$B$12*INDEX(Assumptions!$B$13:$B$15,E7)/12</f>
        <v>12.5</v>
      </c>
      <c r="F10" s="40">
        <f>Assumptions!$B$8*Assumptions!$B$12*INDEX(Assumptions!$B$13:$B$15,F7)/12</f>
        <v>12.5</v>
      </c>
      <c r="G10" s="40">
        <f>Assumptions!$B$8*Assumptions!$B$12*INDEX(Assumptions!$B$13:$B$15,G7)/12</f>
        <v>12.5</v>
      </c>
      <c r="H10" s="40">
        <f>Assumptions!$B$8*Assumptions!$B$12*INDEX(Assumptions!$B$13:$B$15,H7)/12</f>
        <v>12.5</v>
      </c>
      <c r="I10" s="40">
        <f>Assumptions!$B$8*Assumptions!$B$12*INDEX(Assumptions!$B$13:$B$15,I7)/12</f>
        <v>12.5</v>
      </c>
      <c r="J10" s="40">
        <f>Assumptions!$B$8*Assumptions!$B$12*INDEX(Assumptions!$B$13:$B$15,J7)/12</f>
        <v>12.5</v>
      </c>
      <c r="K10" s="40">
        <f>Assumptions!$B$8*Assumptions!$B$12*INDEX(Assumptions!$B$13:$B$15,K7)/12</f>
        <v>12.5</v>
      </c>
      <c r="L10" s="40">
        <f>Assumptions!$B$8*Assumptions!$B$12*INDEX(Assumptions!$B$13:$B$15,L7)/12</f>
        <v>12.5</v>
      </c>
      <c r="M10" s="40">
        <f>Assumptions!$B$8*Assumptions!$B$12*INDEX(Assumptions!$B$13:$B$15,M7)/12</f>
        <v>12.5</v>
      </c>
      <c r="N10" s="40">
        <f>Assumptions!$B$8*Assumptions!$B$12*INDEX(Assumptions!$B$13:$B$15,N7)/12</f>
        <v>12.5</v>
      </c>
      <c r="O10" s="40">
        <f>Assumptions!$B$8*Assumptions!$B$12*INDEX(Assumptions!$B$13:$B$15,O7)/12</f>
        <v>36.458333333333336</v>
      </c>
      <c r="P10" s="40">
        <f>Assumptions!$B$8*Assumptions!$B$12*INDEX(Assumptions!$B$13:$B$15,P7)/12</f>
        <v>36.458333333333336</v>
      </c>
      <c r="Q10" s="40">
        <f>Assumptions!$B$8*Assumptions!$B$12*INDEX(Assumptions!$B$13:$B$15,Q7)/12</f>
        <v>36.458333333333336</v>
      </c>
      <c r="R10" s="40">
        <f>Assumptions!$B$8*Assumptions!$B$12*INDEX(Assumptions!$B$13:$B$15,R7)/12</f>
        <v>36.458333333333336</v>
      </c>
      <c r="S10" s="40">
        <f>Assumptions!$B$8*Assumptions!$B$12*INDEX(Assumptions!$B$13:$B$15,S7)/12</f>
        <v>36.458333333333336</v>
      </c>
      <c r="T10" s="40">
        <f>Assumptions!$B$8*Assumptions!$B$12*INDEX(Assumptions!$B$13:$B$15,T7)/12</f>
        <v>36.458333333333336</v>
      </c>
      <c r="U10" s="40">
        <f>Assumptions!$B$8*Assumptions!$B$12*INDEX(Assumptions!$B$13:$B$15,U7)/12</f>
        <v>36.458333333333336</v>
      </c>
      <c r="V10" s="40">
        <f>Assumptions!$B$8*Assumptions!$B$12*INDEX(Assumptions!$B$13:$B$15,V7)/12</f>
        <v>36.458333333333336</v>
      </c>
      <c r="W10" s="40">
        <f>Assumptions!$B$8*Assumptions!$B$12*INDEX(Assumptions!$B$13:$B$15,W7)/12</f>
        <v>36.458333333333336</v>
      </c>
      <c r="X10" s="40">
        <f>Assumptions!$B$8*Assumptions!$B$12*INDEX(Assumptions!$B$13:$B$15,X7)/12</f>
        <v>36.458333333333336</v>
      </c>
      <c r="Y10" s="40">
        <f>Assumptions!$B$8*Assumptions!$B$12*INDEX(Assumptions!$B$13:$B$15,Y7)/12</f>
        <v>36.458333333333336</v>
      </c>
      <c r="Z10" s="40">
        <f>Assumptions!$B$8*Assumptions!$B$12*INDEX(Assumptions!$B$13:$B$15,Z7)/12</f>
        <v>36.458333333333336</v>
      </c>
      <c r="AA10" s="40">
        <f>Assumptions!$B$8*Assumptions!$B$12*INDEX(Assumptions!$B$13:$B$15,AA7)/12</f>
        <v>55.208333333333336</v>
      </c>
      <c r="AB10" s="40">
        <f>Assumptions!$B$8*Assumptions!$B$12*INDEX(Assumptions!$B$13:$B$15,AB7)/12</f>
        <v>55.208333333333336</v>
      </c>
      <c r="AC10" s="40">
        <f>Assumptions!$B$8*Assumptions!$B$12*INDEX(Assumptions!$B$13:$B$15,AC7)/12</f>
        <v>55.208333333333336</v>
      </c>
      <c r="AD10" s="40">
        <f>Assumptions!$B$8*Assumptions!$B$12*INDEX(Assumptions!$B$13:$B$15,AD7)/12</f>
        <v>55.208333333333336</v>
      </c>
      <c r="AE10" s="40">
        <f>Assumptions!$B$8*Assumptions!$B$12*INDEX(Assumptions!$B$13:$B$15,AE7)/12</f>
        <v>55.208333333333336</v>
      </c>
      <c r="AF10" s="40">
        <f>Assumptions!$B$8*Assumptions!$B$12*INDEX(Assumptions!$B$13:$B$15,AF7)/12</f>
        <v>55.208333333333336</v>
      </c>
      <c r="AG10" s="40">
        <f>Assumptions!$B$8*Assumptions!$B$12*INDEX(Assumptions!$B$13:$B$15,AG7)/12</f>
        <v>55.208333333333336</v>
      </c>
      <c r="AH10" s="40">
        <f>Assumptions!$B$8*Assumptions!$B$12*INDEX(Assumptions!$B$13:$B$15,AH7)/12</f>
        <v>55.208333333333336</v>
      </c>
      <c r="AI10" s="40">
        <f>Assumptions!$B$8*Assumptions!$B$12*INDEX(Assumptions!$B$13:$B$15,AI7)/12</f>
        <v>55.208333333333336</v>
      </c>
      <c r="AJ10" s="40">
        <f>Assumptions!$B$8*Assumptions!$B$12*INDEX(Assumptions!$B$13:$B$15,AJ7)/12</f>
        <v>55.208333333333336</v>
      </c>
      <c r="AK10" s="40">
        <f>Assumptions!$B$8*Assumptions!$B$12*INDEX(Assumptions!$B$13:$B$15,AK7)/12</f>
        <v>55.208333333333336</v>
      </c>
      <c r="AL10" s="40">
        <f>Assumptions!$B$8*Assumptions!$B$12*INDEX(Assumptions!$B$13:$B$15,AL7)/12</f>
        <v>55.208333333333336</v>
      </c>
    </row>
    <row r="11" spans="1:38" hidden="1" outlineLevel="1" x14ac:dyDescent="0.25">
      <c r="A11" s="39" t="s">
        <v>301</v>
      </c>
      <c r="C11" s="40">
        <f>0+C10</f>
        <v>12.5</v>
      </c>
      <c r="D11" s="40">
        <f t="shared" ref="D11:AL11" si="1">C11+D10</f>
        <v>25</v>
      </c>
      <c r="E11" s="40">
        <f t="shared" si="1"/>
        <v>37.5</v>
      </c>
      <c r="F11" s="40">
        <f t="shared" si="1"/>
        <v>50</v>
      </c>
      <c r="G11" s="40">
        <f t="shared" si="1"/>
        <v>62.5</v>
      </c>
      <c r="H11" s="40">
        <f t="shared" si="1"/>
        <v>75</v>
      </c>
      <c r="I11" s="40">
        <f t="shared" si="1"/>
        <v>87.5</v>
      </c>
      <c r="J11" s="40">
        <f t="shared" si="1"/>
        <v>100</v>
      </c>
      <c r="K11" s="40">
        <f t="shared" si="1"/>
        <v>112.5</v>
      </c>
      <c r="L11" s="40">
        <f t="shared" si="1"/>
        <v>125</v>
      </c>
      <c r="M11" s="40">
        <f t="shared" si="1"/>
        <v>137.5</v>
      </c>
      <c r="N11" s="40">
        <f t="shared" si="1"/>
        <v>150</v>
      </c>
      <c r="O11" s="40">
        <f t="shared" si="1"/>
        <v>186.45833333333334</v>
      </c>
      <c r="P11" s="40">
        <f t="shared" si="1"/>
        <v>222.91666666666669</v>
      </c>
      <c r="Q11" s="40">
        <f t="shared" si="1"/>
        <v>259.375</v>
      </c>
      <c r="R11" s="40">
        <f t="shared" si="1"/>
        <v>295.83333333333331</v>
      </c>
      <c r="S11" s="40">
        <f t="shared" si="1"/>
        <v>332.29166666666663</v>
      </c>
      <c r="T11" s="40">
        <f t="shared" si="1"/>
        <v>368.74999999999994</v>
      </c>
      <c r="U11" s="40">
        <f t="shared" si="1"/>
        <v>405.20833333333326</v>
      </c>
      <c r="V11" s="40">
        <f t="shared" si="1"/>
        <v>441.66666666666657</v>
      </c>
      <c r="W11" s="40">
        <f t="shared" si="1"/>
        <v>478.12499999999989</v>
      </c>
      <c r="X11" s="40">
        <f t="shared" si="1"/>
        <v>514.58333333333326</v>
      </c>
      <c r="Y11" s="40">
        <f t="shared" si="1"/>
        <v>551.04166666666663</v>
      </c>
      <c r="Z11" s="40">
        <f t="shared" si="1"/>
        <v>587.5</v>
      </c>
      <c r="AA11" s="40">
        <f t="shared" si="1"/>
        <v>642.70833333333337</v>
      </c>
      <c r="AB11" s="40">
        <f t="shared" si="1"/>
        <v>697.91666666666674</v>
      </c>
      <c r="AC11" s="40">
        <f t="shared" si="1"/>
        <v>753.12500000000011</v>
      </c>
      <c r="AD11" s="40">
        <f t="shared" si="1"/>
        <v>808.33333333333348</v>
      </c>
      <c r="AE11" s="40">
        <f t="shared" si="1"/>
        <v>863.54166666666686</v>
      </c>
      <c r="AF11" s="40">
        <f t="shared" si="1"/>
        <v>918.75000000000023</v>
      </c>
      <c r="AG11" s="40">
        <f t="shared" si="1"/>
        <v>973.9583333333336</v>
      </c>
      <c r="AH11" s="40">
        <f t="shared" si="1"/>
        <v>1029.166666666667</v>
      </c>
      <c r="AI11" s="40">
        <f t="shared" si="1"/>
        <v>1084.3750000000002</v>
      </c>
      <c r="AJ11" s="40">
        <f t="shared" si="1"/>
        <v>1139.5833333333335</v>
      </c>
      <c r="AK11" s="40">
        <f t="shared" si="1"/>
        <v>1194.7916666666667</v>
      </c>
      <c r="AL11" s="40">
        <f t="shared" si="1"/>
        <v>1250</v>
      </c>
    </row>
    <row r="12" spans="1:38" x14ac:dyDescent="0.25">
      <c r="A12" s="2" t="s">
        <v>302</v>
      </c>
      <c r="C12" s="15">
        <f>ROUND(C11,0)-ROUND(0,0)</f>
        <v>13</v>
      </c>
      <c r="D12" s="15">
        <f t="shared" ref="D12:AL12" si="2">ROUND(D11,0)-ROUND(C11,0)</f>
        <v>12</v>
      </c>
      <c r="E12" s="15">
        <f t="shared" si="2"/>
        <v>13</v>
      </c>
      <c r="F12" s="15">
        <f t="shared" si="2"/>
        <v>12</v>
      </c>
      <c r="G12" s="15">
        <f t="shared" si="2"/>
        <v>13</v>
      </c>
      <c r="H12" s="15">
        <f t="shared" si="2"/>
        <v>12</v>
      </c>
      <c r="I12" s="15">
        <f t="shared" si="2"/>
        <v>13</v>
      </c>
      <c r="J12" s="15">
        <f t="shared" si="2"/>
        <v>12</v>
      </c>
      <c r="K12" s="15">
        <f t="shared" si="2"/>
        <v>13</v>
      </c>
      <c r="L12" s="15">
        <f t="shared" si="2"/>
        <v>12</v>
      </c>
      <c r="M12" s="15">
        <f t="shared" si="2"/>
        <v>13</v>
      </c>
      <c r="N12" s="15">
        <f t="shared" si="2"/>
        <v>12</v>
      </c>
      <c r="O12" s="15">
        <f t="shared" si="2"/>
        <v>36</v>
      </c>
      <c r="P12" s="15">
        <f t="shared" si="2"/>
        <v>37</v>
      </c>
      <c r="Q12" s="15">
        <f t="shared" si="2"/>
        <v>36</v>
      </c>
      <c r="R12" s="15">
        <f t="shared" si="2"/>
        <v>37</v>
      </c>
      <c r="S12" s="15">
        <f t="shared" si="2"/>
        <v>36</v>
      </c>
      <c r="T12" s="15">
        <f t="shared" si="2"/>
        <v>37</v>
      </c>
      <c r="U12" s="15">
        <f t="shared" si="2"/>
        <v>36</v>
      </c>
      <c r="V12" s="15">
        <f t="shared" si="2"/>
        <v>37</v>
      </c>
      <c r="W12" s="15">
        <f t="shared" si="2"/>
        <v>36</v>
      </c>
      <c r="X12" s="15">
        <f t="shared" si="2"/>
        <v>37</v>
      </c>
      <c r="Y12" s="15">
        <f t="shared" si="2"/>
        <v>36</v>
      </c>
      <c r="Z12" s="15">
        <f t="shared" si="2"/>
        <v>37</v>
      </c>
      <c r="AA12" s="15">
        <f t="shared" si="2"/>
        <v>55</v>
      </c>
      <c r="AB12" s="15">
        <f t="shared" si="2"/>
        <v>55</v>
      </c>
      <c r="AC12" s="15">
        <f t="shared" si="2"/>
        <v>55</v>
      </c>
      <c r="AD12" s="15">
        <f t="shared" si="2"/>
        <v>55</v>
      </c>
      <c r="AE12" s="15">
        <f t="shared" si="2"/>
        <v>56</v>
      </c>
      <c r="AF12" s="15">
        <f t="shared" si="2"/>
        <v>55</v>
      </c>
      <c r="AG12" s="15">
        <f t="shared" si="2"/>
        <v>55</v>
      </c>
      <c r="AH12" s="15">
        <f t="shared" si="2"/>
        <v>55</v>
      </c>
      <c r="AI12" s="15">
        <f t="shared" si="2"/>
        <v>55</v>
      </c>
      <c r="AJ12" s="15">
        <f t="shared" si="2"/>
        <v>56</v>
      </c>
      <c r="AK12" s="15">
        <f t="shared" si="2"/>
        <v>55</v>
      </c>
      <c r="AL12" s="15">
        <f t="shared" si="2"/>
        <v>55</v>
      </c>
    </row>
    <row r="13" spans="1:38" hidden="1" outlineLevel="1" x14ac:dyDescent="0.25">
      <c r="A13" s="39" t="s">
        <v>303</v>
      </c>
      <c r="C13" s="40">
        <f>C12*Assumptions!$B$16</f>
        <v>0.78</v>
      </c>
      <c r="D13" s="40">
        <f>D12*Assumptions!$B$16</f>
        <v>0.72</v>
      </c>
      <c r="E13" s="40">
        <f>E12*Assumptions!$B$16</f>
        <v>0.78</v>
      </c>
      <c r="F13" s="40">
        <f>F12*Assumptions!$B$16</f>
        <v>0.72</v>
      </c>
      <c r="G13" s="40">
        <f>G12*Assumptions!$B$16</f>
        <v>0.78</v>
      </c>
      <c r="H13" s="40">
        <f>H12*Assumptions!$B$16</f>
        <v>0.72</v>
      </c>
      <c r="I13" s="40">
        <f>I12*Assumptions!$B$16</f>
        <v>0.78</v>
      </c>
      <c r="J13" s="40">
        <f>J12*Assumptions!$B$16</f>
        <v>0.72</v>
      </c>
      <c r="K13" s="40">
        <f>K12*Assumptions!$B$16</f>
        <v>0.78</v>
      </c>
      <c r="L13" s="40">
        <f>L12*Assumptions!$B$16</f>
        <v>0.72</v>
      </c>
      <c r="M13" s="40">
        <f>M12*Assumptions!$B$16</f>
        <v>0.78</v>
      </c>
      <c r="N13" s="40">
        <f>N12*Assumptions!$B$16</f>
        <v>0.72</v>
      </c>
      <c r="O13" s="40">
        <f>O12*Assumptions!$B$16</f>
        <v>2.16</v>
      </c>
      <c r="P13" s="40">
        <f>P12*Assumptions!$B$16</f>
        <v>2.2199999999999998</v>
      </c>
      <c r="Q13" s="40">
        <f>Q12*Assumptions!$B$16</f>
        <v>2.16</v>
      </c>
      <c r="R13" s="40">
        <f>R12*Assumptions!$B$16</f>
        <v>2.2199999999999998</v>
      </c>
      <c r="S13" s="40">
        <f>S12*Assumptions!$B$16</f>
        <v>2.16</v>
      </c>
      <c r="T13" s="40">
        <f>T12*Assumptions!$B$16</f>
        <v>2.2199999999999998</v>
      </c>
      <c r="U13" s="40">
        <f>U12*Assumptions!$B$16</f>
        <v>2.16</v>
      </c>
      <c r="V13" s="40">
        <f>V12*Assumptions!$B$16</f>
        <v>2.2199999999999998</v>
      </c>
      <c r="W13" s="40">
        <f>W12*Assumptions!$B$16</f>
        <v>2.16</v>
      </c>
      <c r="X13" s="40">
        <f>X12*Assumptions!$B$16</f>
        <v>2.2199999999999998</v>
      </c>
      <c r="Y13" s="40">
        <f>Y12*Assumptions!$B$16</f>
        <v>2.16</v>
      </c>
      <c r="Z13" s="40">
        <f>Z12*Assumptions!$B$16</f>
        <v>2.2199999999999998</v>
      </c>
      <c r="AA13" s="40">
        <f>AA12*Assumptions!$B$16</f>
        <v>3.3</v>
      </c>
      <c r="AB13" s="40">
        <f>AB12*Assumptions!$B$16</f>
        <v>3.3</v>
      </c>
      <c r="AC13" s="40">
        <f>AC12*Assumptions!$B$16</f>
        <v>3.3</v>
      </c>
      <c r="AD13" s="40">
        <f>AD12*Assumptions!$B$16</f>
        <v>3.3</v>
      </c>
      <c r="AE13" s="40">
        <f>AE12*Assumptions!$B$16</f>
        <v>3.36</v>
      </c>
      <c r="AF13" s="40">
        <f>AF12*Assumptions!$B$16</f>
        <v>3.3</v>
      </c>
      <c r="AG13" s="40">
        <f>AG12*Assumptions!$B$16</f>
        <v>3.3</v>
      </c>
      <c r="AH13" s="40">
        <f>AH12*Assumptions!$B$16</f>
        <v>3.3</v>
      </c>
      <c r="AI13" s="40">
        <f>AI12*Assumptions!$B$16</f>
        <v>3.3</v>
      </c>
      <c r="AJ13" s="40">
        <f>AJ12*Assumptions!$B$16</f>
        <v>3.36</v>
      </c>
      <c r="AK13" s="40">
        <f>AK12*Assumptions!$B$16</f>
        <v>3.3</v>
      </c>
      <c r="AL13" s="40">
        <f>AL12*Assumptions!$B$16</f>
        <v>3.3</v>
      </c>
    </row>
    <row r="14" spans="1:38" hidden="1" outlineLevel="1" x14ac:dyDescent="0.25">
      <c r="A14" s="39" t="s">
        <v>304</v>
      </c>
      <c r="C14" s="40">
        <f>0+C13</f>
        <v>0.78</v>
      </c>
      <c r="D14" s="40">
        <f t="shared" ref="D14:AL14" si="3">C14+D13</f>
        <v>1.5</v>
      </c>
      <c r="E14" s="40">
        <f t="shared" si="3"/>
        <v>2.2800000000000002</v>
      </c>
      <c r="F14" s="40">
        <f t="shared" si="3"/>
        <v>3</v>
      </c>
      <c r="G14" s="40">
        <f t="shared" si="3"/>
        <v>3.7800000000000002</v>
      </c>
      <c r="H14" s="40">
        <f t="shared" si="3"/>
        <v>4.5</v>
      </c>
      <c r="I14" s="40">
        <f t="shared" si="3"/>
        <v>5.28</v>
      </c>
      <c r="J14" s="40">
        <f t="shared" si="3"/>
        <v>6</v>
      </c>
      <c r="K14" s="40">
        <f t="shared" si="3"/>
        <v>6.78</v>
      </c>
      <c r="L14" s="40">
        <f t="shared" si="3"/>
        <v>7.5</v>
      </c>
      <c r="M14" s="40">
        <f t="shared" si="3"/>
        <v>8.2799999999999994</v>
      </c>
      <c r="N14" s="40">
        <f t="shared" si="3"/>
        <v>9</v>
      </c>
      <c r="O14" s="40">
        <f t="shared" si="3"/>
        <v>11.16</v>
      </c>
      <c r="P14" s="40">
        <f t="shared" si="3"/>
        <v>13.379999999999999</v>
      </c>
      <c r="Q14" s="40">
        <f t="shared" si="3"/>
        <v>15.54</v>
      </c>
      <c r="R14" s="40">
        <f t="shared" si="3"/>
        <v>17.759999999999998</v>
      </c>
      <c r="S14" s="40">
        <f t="shared" si="3"/>
        <v>19.919999999999998</v>
      </c>
      <c r="T14" s="40">
        <f t="shared" si="3"/>
        <v>22.139999999999997</v>
      </c>
      <c r="U14" s="40">
        <f t="shared" si="3"/>
        <v>24.299999999999997</v>
      </c>
      <c r="V14" s="40">
        <f t="shared" si="3"/>
        <v>26.519999999999996</v>
      </c>
      <c r="W14" s="40">
        <f t="shared" si="3"/>
        <v>28.679999999999996</v>
      </c>
      <c r="X14" s="40">
        <f t="shared" si="3"/>
        <v>30.899999999999995</v>
      </c>
      <c r="Y14" s="40">
        <f t="shared" si="3"/>
        <v>33.059999999999995</v>
      </c>
      <c r="Z14" s="40">
        <f t="shared" si="3"/>
        <v>35.279999999999994</v>
      </c>
      <c r="AA14" s="40">
        <f t="shared" si="3"/>
        <v>38.579999999999991</v>
      </c>
      <c r="AB14" s="40">
        <f t="shared" si="3"/>
        <v>41.879999999999988</v>
      </c>
      <c r="AC14" s="40">
        <f t="shared" si="3"/>
        <v>45.179999999999986</v>
      </c>
      <c r="AD14" s="40">
        <f t="shared" si="3"/>
        <v>48.479999999999983</v>
      </c>
      <c r="AE14" s="40">
        <f t="shared" si="3"/>
        <v>51.839999999999982</v>
      </c>
      <c r="AF14" s="40">
        <f t="shared" si="3"/>
        <v>55.139999999999979</v>
      </c>
      <c r="AG14" s="40">
        <f t="shared" si="3"/>
        <v>58.439999999999976</v>
      </c>
      <c r="AH14" s="40">
        <f t="shared" si="3"/>
        <v>61.739999999999974</v>
      </c>
      <c r="AI14" s="40">
        <f t="shared" si="3"/>
        <v>65.039999999999978</v>
      </c>
      <c r="AJ14" s="40">
        <f t="shared" si="3"/>
        <v>68.399999999999977</v>
      </c>
      <c r="AK14" s="40">
        <f t="shared" si="3"/>
        <v>71.699999999999974</v>
      </c>
      <c r="AL14" s="40">
        <f t="shared" si="3"/>
        <v>74.999999999999972</v>
      </c>
    </row>
    <row r="15" spans="1:38" x14ac:dyDescent="0.25">
      <c r="A15" s="2" t="s">
        <v>24</v>
      </c>
      <c r="C15" s="15">
        <f>ROUND(C14,0)-ROUND(0,0)</f>
        <v>1</v>
      </c>
      <c r="D15" s="15">
        <f t="shared" ref="D15:AL15" si="4">ROUND(D14,0)-ROUND(C14,0)</f>
        <v>1</v>
      </c>
      <c r="E15" s="15">
        <f t="shared" si="4"/>
        <v>0</v>
      </c>
      <c r="F15" s="15">
        <f t="shared" si="4"/>
        <v>1</v>
      </c>
      <c r="G15" s="15">
        <f t="shared" si="4"/>
        <v>1</v>
      </c>
      <c r="H15" s="15">
        <f t="shared" si="4"/>
        <v>1</v>
      </c>
      <c r="I15" s="15">
        <f t="shared" si="4"/>
        <v>0</v>
      </c>
      <c r="J15" s="15">
        <f t="shared" si="4"/>
        <v>1</v>
      </c>
      <c r="K15" s="15">
        <f t="shared" si="4"/>
        <v>1</v>
      </c>
      <c r="L15" s="15">
        <f t="shared" si="4"/>
        <v>1</v>
      </c>
      <c r="M15" s="15">
        <f t="shared" si="4"/>
        <v>0</v>
      </c>
      <c r="N15" s="15">
        <f t="shared" si="4"/>
        <v>1</v>
      </c>
      <c r="O15" s="15">
        <f t="shared" si="4"/>
        <v>2</v>
      </c>
      <c r="P15" s="15">
        <f t="shared" si="4"/>
        <v>2</v>
      </c>
      <c r="Q15" s="15">
        <f t="shared" si="4"/>
        <v>3</v>
      </c>
      <c r="R15" s="15">
        <f t="shared" si="4"/>
        <v>2</v>
      </c>
      <c r="S15" s="15">
        <f t="shared" si="4"/>
        <v>2</v>
      </c>
      <c r="T15" s="15">
        <f t="shared" si="4"/>
        <v>2</v>
      </c>
      <c r="U15" s="15">
        <f t="shared" si="4"/>
        <v>2</v>
      </c>
      <c r="V15" s="15">
        <f t="shared" si="4"/>
        <v>3</v>
      </c>
      <c r="W15" s="15">
        <f t="shared" si="4"/>
        <v>2</v>
      </c>
      <c r="X15" s="15">
        <f t="shared" si="4"/>
        <v>2</v>
      </c>
      <c r="Y15" s="15">
        <f t="shared" si="4"/>
        <v>2</v>
      </c>
      <c r="Z15" s="15">
        <f t="shared" si="4"/>
        <v>2</v>
      </c>
      <c r="AA15" s="15">
        <f t="shared" si="4"/>
        <v>4</v>
      </c>
      <c r="AB15" s="15">
        <f t="shared" si="4"/>
        <v>3</v>
      </c>
      <c r="AC15" s="15">
        <f t="shared" si="4"/>
        <v>3</v>
      </c>
      <c r="AD15" s="15">
        <f t="shared" si="4"/>
        <v>3</v>
      </c>
      <c r="AE15" s="15">
        <f t="shared" si="4"/>
        <v>4</v>
      </c>
      <c r="AF15" s="15">
        <f t="shared" si="4"/>
        <v>3</v>
      </c>
      <c r="AG15" s="15">
        <f t="shared" si="4"/>
        <v>3</v>
      </c>
      <c r="AH15" s="15">
        <f t="shared" si="4"/>
        <v>4</v>
      </c>
      <c r="AI15" s="15">
        <f t="shared" si="4"/>
        <v>3</v>
      </c>
      <c r="AJ15" s="15">
        <f t="shared" si="4"/>
        <v>3</v>
      </c>
      <c r="AK15" s="15">
        <f t="shared" si="4"/>
        <v>4</v>
      </c>
      <c r="AL15" s="15">
        <f t="shared" si="4"/>
        <v>3</v>
      </c>
    </row>
    <row r="16" spans="1:38" x14ac:dyDescent="0.25">
      <c r="A16" s="2" t="s">
        <v>305</v>
      </c>
      <c r="C16" s="15">
        <f ca="1">IF(C6&gt;Assumptions!$B$17,OFFSET(C15,0,-Assumptions!$B$17),0)+IF(C6=Assumptions!$B$17,Assumptions!$B$24,0)</f>
        <v>0</v>
      </c>
      <c r="D16" s="15">
        <f ca="1">IF(D6&gt;Assumptions!$B$17,OFFSET(D15,0,-Assumptions!$B$17),0)+IF(D6=Assumptions!$B$17,Assumptions!$B$24,0)</f>
        <v>0</v>
      </c>
      <c r="E16" s="15">
        <f ca="1">IF(E6&gt;Assumptions!$B$17,OFFSET(E15,0,-Assumptions!$B$17),0)+IF(E6=Assumptions!$B$17,Assumptions!$B$24,0)</f>
        <v>6</v>
      </c>
      <c r="F16" s="15">
        <f ca="1">IF(F6&gt;Assumptions!$B$17,OFFSET(F15,0,-Assumptions!$B$17),0)+IF(F6=Assumptions!$B$17,Assumptions!$B$24,0)</f>
        <v>1</v>
      </c>
      <c r="G16" s="15">
        <f ca="1">IF(G6&gt;Assumptions!$B$17,OFFSET(G15,0,-Assumptions!$B$17),0)+IF(G6=Assumptions!$B$17,Assumptions!$B$24,0)</f>
        <v>1</v>
      </c>
      <c r="H16" s="15">
        <f ca="1">IF(H6&gt;Assumptions!$B$17,OFFSET(H15,0,-Assumptions!$B$17),0)+IF(H6=Assumptions!$B$17,Assumptions!$B$24,0)</f>
        <v>0</v>
      </c>
      <c r="I16" s="15">
        <f ca="1">IF(I6&gt;Assumptions!$B$17,OFFSET(I15,0,-Assumptions!$B$17),0)+IF(I6=Assumptions!$B$17,Assumptions!$B$24,0)</f>
        <v>1</v>
      </c>
      <c r="J16" s="15">
        <f ca="1">IF(J6&gt;Assumptions!$B$17,OFFSET(J15,0,-Assumptions!$B$17),0)+IF(J6=Assumptions!$B$17,Assumptions!$B$24,0)</f>
        <v>1</v>
      </c>
      <c r="K16" s="15">
        <f ca="1">IF(K6&gt;Assumptions!$B$17,OFFSET(K15,0,-Assumptions!$B$17),0)+IF(K6=Assumptions!$B$17,Assumptions!$B$24,0)</f>
        <v>1</v>
      </c>
      <c r="L16" s="15">
        <f ca="1">IF(L6&gt;Assumptions!$B$17,OFFSET(L15,0,-Assumptions!$B$17),0)+IF(L6=Assumptions!$B$17,Assumptions!$B$24,0)</f>
        <v>0</v>
      </c>
      <c r="M16" s="15">
        <f ca="1">IF(M6&gt;Assumptions!$B$17,OFFSET(M15,0,-Assumptions!$B$17),0)+IF(M6=Assumptions!$B$17,Assumptions!$B$24,0)</f>
        <v>1</v>
      </c>
      <c r="N16" s="15">
        <f ca="1">IF(N6&gt;Assumptions!$B$17,OFFSET(N15,0,-Assumptions!$B$17),0)+IF(N6=Assumptions!$B$17,Assumptions!$B$24,0)</f>
        <v>1</v>
      </c>
      <c r="O16" s="15">
        <f ca="1">IF(O6&gt;Assumptions!$B$17,OFFSET(O15,0,-Assumptions!$B$17),0)+IF(O6=Assumptions!$B$17,Assumptions!$B$24,0)</f>
        <v>1</v>
      </c>
      <c r="P16" s="15">
        <f ca="1">IF(P6&gt;Assumptions!$B$17,OFFSET(P15,0,-Assumptions!$B$17),0)+IF(P6=Assumptions!$B$17,Assumptions!$B$24,0)</f>
        <v>0</v>
      </c>
      <c r="Q16" s="15">
        <f ca="1">IF(Q6&gt;Assumptions!$B$17,OFFSET(Q15,0,-Assumptions!$B$17),0)+IF(Q6=Assumptions!$B$17,Assumptions!$B$24,0)</f>
        <v>1</v>
      </c>
      <c r="R16" s="15">
        <f ca="1">IF(R6&gt;Assumptions!$B$17,OFFSET(R15,0,-Assumptions!$B$17),0)+IF(R6=Assumptions!$B$17,Assumptions!$B$24,0)</f>
        <v>2</v>
      </c>
      <c r="S16" s="15">
        <f ca="1">IF(S6&gt;Assumptions!$B$17,OFFSET(S15,0,-Assumptions!$B$17),0)+IF(S6=Assumptions!$B$17,Assumptions!$B$24,0)</f>
        <v>2</v>
      </c>
      <c r="T16" s="15">
        <f ca="1">IF(T6&gt;Assumptions!$B$17,OFFSET(T15,0,-Assumptions!$B$17),0)+IF(T6=Assumptions!$B$17,Assumptions!$B$24,0)</f>
        <v>3</v>
      </c>
      <c r="U16" s="15">
        <f ca="1">IF(U6&gt;Assumptions!$B$17,OFFSET(U15,0,-Assumptions!$B$17),0)+IF(U6=Assumptions!$B$17,Assumptions!$B$24,0)</f>
        <v>2</v>
      </c>
      <c r="V16" s="15">
        <f ca="1">IF(V6&gt;Assumptions!$B$17,OFFSET(V15,0,-Assumptions!$B$17),0)+IF(V6=Assumptions!$B$17,Assumptions!$B$24,0)</f>
        <v>2</v>
      </c>
      <c r="W16" s="15">
        <f ca="1">IF(W6&gt;Assumptions!$B$17,OFFSET(W15,0,-Assumptions!$B$17),0)+IF(W6=Assumptions!$B$17,Assumptions!$B$24,0)</f>
        <v>2</v>
      </c>
      <c r="X16" s="15">
        <f ca="1">IF(X6&gt;Assumptions!$B$17,OFFSET(X15,0,-Assumptions!$B$17),0)+IF(X6=Assumptions!$B$17,Assumptions!$B$24,0)</f>
        <v>2</v>
      </c>
      <c r="Y16" s="15">
        <f ca="1">IF(Y6&gt;Assumptions!$B$17,OFFSET(Y15,0,-Assumptions!$B$17),0)+IF(Y6=Assumptions!$B$17,Assumptions!$B$24,0)</f>
        <v>3</v>
      </c>
      <c r="Z16" s="15">
        <f ca="1">IF(Z6&gt;Assumptions!$B$17,OFFSET(Z15,0,-Assumptions!$B$17),0)+IF(Z6=Assumptions!$B$17,Assumptions!$B$24,0)</f>
        <v>2</v>
      </c>
      <c r="AA16" s="15">
        <f ca="1">IF(AA6&gt;Assumptions!$B$17,OFFSET(AA15,0,-Assumptions!$B$17),0)+IF(AA6=Assumptions!$B$17,Assumptions!$B$24,0)</f>
        <v>2</v>
      </c>
      <c r="AB16" s="15">
        <f ca="1">IF(AB6&gt;Assumptions!$B$17,OFFSET(AB15,0,-Assumptions!$B$17),0)+IF(AB6=Assumptions!$B$17,Assumptions!$B$24,0)</f>
        <v>2</v>
      </c>
      <c r="AC16" s="15">
        <f ca="1">IF(AC6&gt;Assumptions!$B$17,OFFSET(AC15,0,-Assumptions!$B$17),0)+IF(AC6=Assumptions!$B$17,Assumptions!$B$24,0)</f>
        <v>2</v>
      </c>
      <c r="AD16" s="15">
        <f ca="1">IF(AD6&gt;Assumptions!$B$17,OFFSET(AD15,0,-Assumptions!$B$17),0)+IF(AD6=Assumptions!$B$17,Assumptions!$B$24,0)</f>
        <v>4</v>
      </c>
      <c r="AE16" s="15">
        <f ca="1">IF(AE6&gt;Assumptions!$B$17,OFFSET(AE15,0,-Assumptions!$B$17),0)+IF(AE6=Assumptions!$B$17,Assumptions!$B$24,0)</f>
        <v>3</v>
      </c>
      <c r="AF16" s="15">
        <f ca="1">IF(AF6&gt;Assumptions!$B$17,OFFSET(AF15,0,-Assumptions!$B$17),0)+IF(AF6=Assumptions!$B$17,Assumptions!$B$24,0)</f>
        <v>3</v>
      </c>
      <c r="AG16" s="15">
        <f ca="1">IF(AG6&gt;Assumptions!$B$17,OFFSET(AG15,0,-Assumptions!$B$17),0)+IF(AG6=Assumptions!$B$17,Assumptions!$B$24,0)</f>
        <v>3</v>
      </c>
      <c r="AH16" s="15">
        <f ca="1">IF(AH6&gt;Assumptions!$B$17,OFFSET(AH15,0,-Assumptions!$B$17),0)+IF(AH6=Assumptions!$B$17,Assumptions!$B$24,0)</f>
        <v>4</v>
      </c>
      <c r="AI16" s="15">
        <f ca="1">IF(AI6&gt;Assumptions!$B$17,OFFSET(AI15,0,-Assumptions!$B$17),0)+IF(AI6=Assumptions!$B$17,Assumptions!$B$24,0)</f>
        <v>3</v>
      </c>
      <c r="AJ16" s="15">
        <f ca="1">IF(AJ6&gt;Assumptions!$B$17,OFFSET(AJ15,0,-Assumptions!$B$17),0)+IF(AJ6=Assumptions!$B$17,Assumptions!$B$24,0)</f>
        <v>3</v>
      </c>
      <c r="AK16" s="15">
        <f ca="1">IF(AK6&gt;Assumptions!$B$17,OFFSET(AK15,0,-Assumptions!$B$17),0)+IF(AK6=Assumptions!$B$17,Assumptions!$B$24,0)</f>
        <v>4</v>
      </c>
      <c r="AL16" s="15">
        <f ca="1">IF(AL6&gt;Assumptions!$B$17,OFFSET(AL15,0,-Assumptions!$B$17),0)+IF(AL6=Assumptions!$B$17,Assumptions!$B$24,0)</f>
        <v>3</v>
      </c>
    </row>
    <row r="17" spans="1:38" hidden="1" outlineLevel="1" x14ac:dyDescent="0.25">
      <c r="A17" s="39" t="s">
        <v>306</v>
      </c>
      <c r="C17" s="40">
        <f ca="1">C16*Assumptions!$B$18</f>
        <v>0</v>
      </c>
      <c r="D17" s="40">
        <f ca="1">D16*Assumptions!$B$18</f>
        <v>0</v>
      </c>
      <c r="E17" s="40">
        <f ca="1">E16*Assumptions!$B$18</f>
        <v>3</v>
      </c>
      <c r="F17" s="40">
        <f ca="1">F16*Assumptions!$B$18</f>
        <v>0.5</v>
      </c>
      <c r="G17" s="40">
        <f ca="1">G16*Assumptions!$B$18</f>
        <v>0.5</v>
      </c>
      <c r="H17" s="40">
        <f ca="1">H16*Assumptions!$B$18</f>
        <v>0</v>
      </c>
      <c r="I17" s="40">
        <f ca="1">I16*Assumptions!$B$18</f>
        <v>0.5</v>
      </c>
      <c r="J17" s="40">
        <f ca="1">J16*Assumptions!$B$18</f>
        <v>0.5</v>
      </c>
      <c r="K17" s="40">
        <f ca="1">K16*Assumptions!$B$18</f>
        <v>0.5</v>
      </c>
      <c r="L17" s="40">
        <f ca="1">L16*Assumptions!$B$18</f>
        <v>0</v>
      </c>
      <c r="M17" s="40">
        <f ca="1">M16*Assumptions!$B$18</f>
        <v>0.5</v>
      </c>
      <c r="N17" s="40">
        <f ca="1">N16*Assumptions!$B$18</f>
        <v>0.5</v>
      </c>
      <c r="O17" s="40">
        <f ca="1">O16*Assumptions!$B$18</f>
        <v>0.5</v>
      </c>
      <c r="P17" s="40">
        <f ca="1">P16*Assumptions!$B$18</f>
        <v>0</v>
      </c>
      <c r="Q17" s="40">
        <f ca="1">Q16*Assumptions!$B$18</f>
        <v>0.5</v>
      </c>
      <c r="R17" s="40">
        <f ca="1">R16*Assumptions!$B$18</f>
        <v>1</v>
      </c>
      <c r="S17" s="40">
        <f ca="1">S16*Assumptions!$B$18</f>
        <v>1</v>
      </c>
      <c r="T17" s="40">
        <f ca="1">T16*Assumptions!$B$18</f>
        <v>1.5</v>
      </c>
      <c r="U17" s="40">
        <f ca="1">U16*Assumptions!$B$18</f>
        <v>1</v>
      </c>
      <c r="V17" s="40">
        <f ca="1">V16*Assumptions!$B$18</f>
        <v>1</v>
      </c>
      <c r="W17" s="40">
        <f ca="1">W16*Assumptions!$B$18</f>
        <v>1</v>
      </c>
      <c r="X17" s="40">
        <f ca="1">X16*Assumptions!$B$18</f>
        <v>1</v>
      </c>
      <c r="Y17" s="40">
        <f ca="1">Y16*Assumptions!$B$18</f>
        <v>1.5</v>
      </c>
      <c r="Z17" s="40">
        <f ca="1">Z16*Assumptions!$B$18</f>
        <v>1</v>
      </c>
      <c r="AA17" s="40">
        <f ca="1">AA16*Assumptions!$B$18</f>
        <v>1</v>
      </c>
      <c r="AB17" s="40">
        <f ca="1">AB16*Assumptions!$B$18</f>
        <v>1</v>
      </c>
      <c r="AC17" s="40">
        <f ca="1">AC16*Assumptions!$B$18</f>
        <v>1</v>
      </c>
      <c r="AD17" s="40">
        <f ca="1">AD16*Assumptions!$B$18</f>
        <v>2</v>
      </c>
      <c r="AE17" s="40">
        <f ca="1">AE16*Assumptions!$B$18</f>
        <v>1.5</v>
      </c>
      <c r="AF17" s="40">
        <f ca="1">AF16*Assumptions!$B$18</f>
        <v>1.5</v>
      </c>
      <c r="AG17" s="40">
        <f ca="1">AG16*Assumptions!$B$18</f>
        <v>1.5</v>
      </c>
      <c r="AH17" s="40">
        <f ca="1">AH16*Assumptions!$B$18</f>
        <v>2</v>
      </c>
      <c r="AI17" s="40">
        <f ca="1">AI16*Assumptions!$B$18</f>
        <v>1.5</v>
      </c>
      <c r="AJ17" s="40">
        <f ca="1">AJ16*Assumptions!$B$18</f>
        <v>1.5</v>
      </c>
      <c r="AK17" s="40">
        <f ca="1">AK16*Assumptions!$B$18</f>
        <v>2</v>
      </c>
      <c r="AL17" s="40">
        <f ca="1">AL16*Assumptions!$B$18</f>
        <v>1.5</v>
      </c>
    </row>
    <row r="18" spans="1:38" hidden="1" outlineLevel="1" x14ac:dyDescent="0.25">
      <c r="A18" s="39" t="s">
        <v>307</v>
      </c>
      <c r="C18" s="40">
        <f ca="1">0+C17</f>
        <v>0</v>
      </c>
      <c r="D18" s="40">
        <f t="shared" ref="D18:AL18" ca="1" si="5">C18+D17</f>
        <v>0</v>
      </c>
      <c r="E18" s="40">
        <f t="shared" ca="1" si="5"/>
        <v>3</v>
      </c>
      <c r="F18" s="40">
        <f t="shared" ca="1" si="5"/>
        <v>3.5</v>
      </c>
      <c r="G18" s="40">
        <f t="shared" ca="1" si="5"/>
        <v>4</v>
      </c>
      <c r="H18" s="40">
        <f t="shared" ca="1" si="5"/>
        <v>4</v>
      </c>
      <c r="I18" s="40">
        <f t="shared" ca="1" si="5"/>
        <v>4.5</v>
      </c>
      <c r="J18" s="40">
        <f t="shared" ca="1" si="5"/>
        <v>5</v>
      </c>
      <c r="K18" s="40">
        <f t="shared" ca="1" si="5"/>
        <v>5.5</v>
      </c>
      <c r="L18" s="40">
        <f t="shared" ca="1" si="5"/>
        <v>5.5</v>
      </c>
      <c r="M18" s="40">
        <f t="shared" ca="1" si="5"/>
        <v>6</v>
      </c>
      <c r="N18" s="40">
        <f t="shared" ca="1" si="5"/>
        <v>6.5</v>
      </c>
      <c r="O18" s="40">
        <f t="shared" ca="1" si="5"/>
        <v>7</v>
      </c>
      <c r="P18" s="40">
        <f t="shared" ca="1" si="5"/>
        <v>7</v>
      </c>
      <c r="Q18" s="40">
        <f t="shared" ca="1" si="5"/>
        <v>7.5</v>
      </c>
      <c r="R18" s="40">
        <f t="shared" ca="1" si="5"/>
        <v>8.5</v>
      </c>
      <c r="S18" s="40">
        <f t="shared" ca="1" si="5"/>
        <v>9.5</v>
      </c>
      <c r="T18" s="40">
        <f t="shared" ca="1" si="5"/>
        <v>11</v>
      </c>
      <c r="U18" s="40">
        <f t="shared" ca="1" si="5"/>
        <v>12</v>
      </c>
      <c r="V18" s="40">
        <f t="shared" ca="1" si="5"/>
        <v>13</v>
      </c>
      <c r="W18" s="40">
        <f t="shared" ca="1" si="5"/>
        <v>14</v>
      </c>
      <c r="X18" s="40">
        <f t="shared" ca="1" si="5"/>
        <v>15</v>
      </c>
      <c r="Y18" s="40">
        <f t="shared" ca="1" si="5"/>
        <v>16.5</v>
      </c>
      <c r="Z18" s="40">
        <f t="shared" ca="1" si="5"/>
        <v>17.5</v>
      </c>
      <c r="AA18" s="40">
        <f t="shared" ca="1" si="5"/>
        <v>18.5</v>
      </c>
      <c r="AB18" s="40">
        <f t="shared" ca="1" si="5"/>
        <v>19.5</v>
      </c>
      <c r="AC18" s="40">
        <f t="shared" ca="1" si="5"/>
        <v>20.5</v>
      </c>
      <c r="AD18" s="40">
        <f t="shared" ca="1" si="5"/>
        <v>22.5</v>
      </c>
      <c r="AE18" s="40">
        <f t="shared" ca="1" si="5"/>
        <v>24</v>
      </c>
      <c r="AF18" s="40">
        <f t="shared" ca="1" si="5"/>
        <v>25.5</v>
      </c>
      <c r="AG18" s="40">
        <f t="shared" ca="1" si="5"/>
        <v>27</v>
      </c>
      <c r="AH18" s="40">
        <f t="shared" ca="1" si="5"/>
        <v>29</v>
      </c>
      <c r="AI18" s="40">
        <f t="shared" ca="1" si="5"/>
        <v>30.5</v>
      </c>
      <c r="AJ18" s="40">
        <f t="shared" ca="1" si="5"/>
        <v>32</v>
      </c>
      <c r="AK18" s="40">
        <f t="shared" ca="1" si="5"/>
        <v>34</v>
      </c>
      <c r="AL18" s="40">
        <f t="shared" ca="1" si="5"/>
        <v>35.5</v>
      </c>
    </row>
    <row r="19" spans="1:38" x14ac:dyDescent="0.25">
      <c r="A19" s="2" t="s">
        <v>25</v>
      </c>
      <c r="C19" s="15">
        <f ca="1">ROUND(C18,0)-ROUND(0,0)</f>
        <v>0</v>
      </c>
      <c r="D19" s="15">
        <f t="shared" ref="D19:AL19" ca="1" si="6">ROUND(D18,0)-ROUND(C18,0)</f>
        <v>0</v>
      </c>
      <c r="E19" s="15">
        <f t="shared" ca="1" si="6"/>
        <v>3</v>
      </c>
      <c r="F19" s="15">
        <f t="shared" ca="1" si="6"/>
        <v>1</v>
      </c>
      <c r="G19" s="15">
        <f t="shared" ca="1" si="6"/>
        <v>0</v>
      </c>
      <c r="H19" s="15">
        <f t="shared" ca="1" si="6"/>
        <v>0</v>
      </c>
      <c r="I19" s="15">
        <f t="shared" ca="1" si="6"/>
        <v>1</v>
      </c>
      <c r="J19" s="15">
        <f t="shared" ca="1" si="6"/>
        <v>0</v>
      </c>
      <c r="K19" s="15">
        <f t="shared" ca="1" si="6"/>
        <v>1</v>
      </c>
      <c r="L19" s="15">
        <f t="shared" ca="1" si="6"/>
        <v>0</v>
      </c>
      <c r="M19" s="15">
        <f t="shared" ca="1" si="6"/>
        <v>0</v>
      </c>
      <c r="N19" s="15">
        <f t="shared" ca="1" si="6"/>
        <v>1</v>
      </c>
      <c r="O19" s="15">
        <f t="shared" ca="1" si="6"/>
        <v>0</v>
      </c>
      <c r="P19" s="15">
        <f t="shared" ca="1" si="6"/>
        <v>0</v>
      </c>
      <c r="Q19" s="15">
        <f t="shared" ca="1" si="6"/>
        <v>1</v>
      </c>
      <c r="R19" s="15">
        <f t="shared" ca="1" si="6"/>
        <v>1</v>
      </c>
      <c r="S19" s="15">
        <f t="shared" ca="1" si="6"/>
        <v>1</v>
      </c>
      <c r="T19" s="15">
        <f t="shared" ca="1" si="6"/>
        <v>1</v>
      </c>
      <c r="U19" s="15">
        <f t="shared" ca="1" si="6"/>
        <v>1</v>
      </c>
      <c r="V19" s="15">
        <f t="shared" ca="1" si="6"/>
        <v>1</v>
      </c>
      <c r="W19" s="15">
        <f t="shared" ca="1" si="6"/>
        <v>1</v>
      </c>
      <c r="X19" s="15">
        <f t="shared" ca="1" si="6"/>
        <v>1</v>
      </c>
      <c r="Y19" s="15">
        <f t="shared" ca="1" si="6"/>
        <v>2</v>
      </c>
      <c r="Z19" s="15">
        <f t="shared" ca="1" si="6"/>
        <v>1</v>
      </c>
      <c r="AA19" s="15">
        <f t="shared" ca="1" si="6"/>
        <v>1</v>
      </c>
      <c r="AB19" s="15">
        <f t="shared" ca="1" si="6"/>
        <v>1</v>
      </c>
      <c r="AC19" s="15">
        <f t="shared" ca="1" si="6"/>
        <v>1</v>
      </c>
      <c r="AD19" s="15">
        <f t="shared" ca="1" si="6"/>
        <v>2</v>
      </c>
      <c r="AE19" s="15">
        <f t="shared" ca="1" si="6"/>
        <v>1</v>
      </c>
      <c r="AF19" s="15">
        <f t="shared" ca="1" si="6"/>
        <v>2</v>
      </c>
      <c r="AG19" s="15">
        <f t="shared" ca="1" si="6"/>
        <v>1</v>
      </c>
      <c r="AH19" s="15">
        <f t="shared" ca="1" si="6"/>
        <v>2</v>
      </c>
      <c r="AI19" s="15">
        <f t="shared" ca="1" si="6"/>
        <v>2</v>
      </c>
      <c r="AJ19" s="15">
        <f t="shared" ca="1" si="6"/>
        <v>1</v>
      </c>
      <c r="AK19" s="15">
        <f t="shared" ca="1" si="6"/>
        <v>2</v>
      </c>
      <c r="AL19" s="15">
        <f t="shared" ca="1" si="6"/>
        <v>2</v>
      </c>
    </row>
    <row r="20" spans="1:38" hidden="1" outlineLevel="1" x14ac:dyDescent="0.25">
      <c r="A20" s="39" t="s">
        <v>308</v>
      </c>
      <c r="C20" s="40">
        <f ca="1">C19*Assumptions!$B$19</f>
        <v>0</v>
      </c>
      <c r="D20" s="40">
        <f ca="1">D19*Assumptions!$B$19</f>
        <v>0</v>
      </c>
      <c r="E20" s="40">
        <f ca="1">E19*Assumptions!$B$19</f>
        <v>1.9500000000000002</v>
      </c>
      <c r="F20" s="40">
        <f ca="1">F19*Assumptions!$B$19</f>
        <v>0.65</v>
      </c>
      <c r="G20" s="40">
        <f ca="1">G19*Assumptions!$B$19</f>
        <v>0</v>
      </c>
      <c r="H20" s="40">
        <f ca="1">H19*Assumptions!$B$19</f>
        <v>0</v>
      </c>
      <c r="I20" s="40">
        <f ca="1">I19*Assumptions!$B$19</f>
        <v>0.65</v>
      </c>
      <c r="J20" s="40">
        <f ca="1">J19*Assumptions!$B$19</f>
        <v>0</v>
      </c>
      <c r="K20" s="40">
        <f ca="1">K19*Assumptions!$B$19</f>
        <v>0.65</v>
      </c>
      <c r="L20" s="40">
        <f ca="1">L19*Assumptions!$B$19</f>
        <v>0</v>
      </c>
      <c r="M20" s="40">
        <f ca="1">M19*Assumptions!$B$19</f>
        <v>0</v>
      </c>
      <c r="N20" s="40">
        <f ca="1">N19*Assumptions!$B$19</f>
        <v>0.65</v>
      </c>
      <c r="O20" s="40">
        <f ca="1">O19*Assumptions!$B$19</f>
        <v>0</v>
      </c>
      <c r="P20" s="40">
        <f ca="1">P19*Assumptions!$B$19</f>
        <v>0</v>
      </c>
      <c r="Q20" s="40">
        <f ca="1">Q19*Assumptions!$B$19</f>
        <v>0.65</v>
      </c>
      <c r="R20" s="40">
        <f ca="1">R19*Assumptions!$B$19</f>
        <v>0.65</v>
      </c>
      <c r="S20" s="40">
        <f ca="1">S19*Assumptions!$B$19</f>
        <v>0.65</v>
      </c>
      <c r="T20" s="40">
        <f ca="1">T19*Assumptions!$B$19</f>
        <v>0.65</v>
      </c>
      <c r="U20" s="40">
        <f ca="1">U19*Assumptions!$B$19</f>
        <v>0.65</v>
      </c>
      <c r="V20" s="40">
        <f ca="1">V19*Assumptions!$B$19</f>
        <v>0.65</v>
      </c>
      <c r="W20" s="40">
        <f ca="1">W19*Assumptions!$B$19</f>
        <v>0.65</v>
      </c>
      <c r="X20" s="40">
        <f ca="1">X19*Assumptions!$B$19</f>
        <v>0.65</v>
      </c>
      <c r="Y20" s="40">
        <f ca="1">Y19*Assumptions!$B$19</f>
        <v>1.3</v>
      </c>
      <c r="Z20" s="40">
        <f ca="1">Z19*Assumptions!$B$19</f>
        <v>0.65</v>
      </c>
      <c r="AA20" s="40">
        <f ca="1">AA19*Assumptions!$B$19</f>
        <v>0.65</v>
      </c>
      <c r="AB20" s="40">
        <f ca="1">AB19*Assumptions!$B$19</f>
        <v>0.65</v>
      </c>
      <c r="AC20" s="40">
        <f ca="1">AC19*Assumptions!$B$19</f>
        <v>0.65</v>
      </c>
      <c r="AD20" s="40">
        <f ca="1">AD19*Assumptions!$B$19</f>
        <v>1.3</v>
      </c>
      <c r="AE20" s="40">
        <f ca="1">AE19*Assumptions!$B$19</f>
        <v>0.65</v>
      </c>
      <c r="AF20" s="40">
        <f ca="1">AF19*Assumptions!$B$19</f>
        <v>1.3</v>
      </c>
      <c r="AG20" s="40">
        <f ca="1">AG19*Assumptions!$B$19</f>
        <v>0.65</v>
      </c>
      <c r="AH20" s="40">
        <f ca="1">AH19*Assumptions!$B$19</f>
        <v>1.3</v>
      </c>
      <c r="AI20" s="40">
        <f ca="1">AI19*Assumptions!$B$19</f>
        <v>1.3</v>
      </c>
      <c r="AJ20" s="40">
        <f ca="1">AJ19*Assumptions!$B$19</f>
        <v>0.65</v>
      </c>
      <c r="AK20" s="40">
        <f ca="1">AK19*Assumptions!$B$19</f>
        <v>1.3</v>
      </c>
      <c r="AL20" s="40">
        <f ca="1">AL19*Assumptions!$B$19</f>
        <v>1.3</v>
      </c>
    </row>
    <row r="21" spans="1:38" hidden="1" outlineLevel="1" x14ac:dyDescent="0.25">
      <c r="A21" s="39" t="s">
        <v>309</v>
      </c>
      <c r="C21" s="40">
        <f ca="1">0+C20</f>
        <v>0</v>
      </c>
      <c r="D21" s="40">
        <f t="shared" ref="D21:AL21" ca="1" si="7">C21+D20</f>
        <v>0</v>
      </c>
      <c r="E21" s="40">
        <f t="shared" ca="1" si="7"/>
        <v>1.9500000000000002</v>
      </c>
      <c r="F21" s="40">
        <f t="shared" ca="1" si="7"/>
        <v>2.6</v>
      </c>
      <c r="G21" s="40">
        <f t="shared" ca="1" si="7"/>
        <v>2.6</v>
      </c>
      <c r="H21" s="40">
        <f t="shared" ca="1" si="7"/>
        <v>2.6</v>
      </c>
      <c r="I21" s="40">
        <f t="shared" ca="1" si="7"/>
        <v>3.25</v>
      </c>
      <c r="J21" s="40">
        <f t="shared" ca="1" si="7"/>
        <v>3.25</v>
      </c>
      <c r="K21" s="40">
        <f t="shared" ca="1" si="7"/>
        <v>3.9</v>
      </c>
      <c r="L21" s="40">
        <f t="shared" ca="1" si="7"/>
        <v>3.9</v>
      </c>
      <c r="M21" s="40">
        <f t="shared" ca="1" si="7"/>
        <v>3.9</v>
      </c>
      <c r="N21" s="40">
        <f t="shared" ca="1" si="7"/>
        <v>4.55</v>
      </c>
      <c r="O21" s="40">
        <f t="shared" ca="1" si="7"/>
        <v>4.55</v>
      </c>
      <c r="P21" s="40">
        <f t="shared" ca="1" si="7"/>
        <v>4.55</v>
      </c>
      <c r="Q21" s="40">
        <f t="shared" ca="1" si="7"/>
        <v>5.2</v>
      </c>
      <c r="R21" s="40">
        <f t="shared" ca="1" si="7"/>
        <v>5.8500000000000005</v>
      </c>
      <c r="S21" s="40">
        <f t="shared" ca="1" si="7"/>
        <v>6.5000000000000009</v>
      </c>
      <c r="T21" s="40">
        <f t="shared" ca="1" si="7"/>
        <v>7.1500000000000012</v>
      </c>
      <c r="U21" s="40">
        <f t="shared" ca="1" si="7"/>
        <v>7.8000000000000016</v>
      </c>
      <c r="V21" s="40">
        <f t="shared" ca="1" si="7"/>
        <v>8.4500000000000011</v>
      </c>
      <c r="W21" s="40">
        <f t="shared" ca="1" si="7"/>
        <v>9.1000000000000014</v>
      </c>
      <c r="X21" s="40">
        <f t="shared" ca="1" si="7"/>
        <v>9.7500000000000018</v>
      </c>
      <c r="Y21" s="40">
        <f t="shared" ca="1" si="7"/>
        <v>11.050000000000002</v>
      </c>
      <c r="Z21" s="40">
        <f t="shared" ca="1" si="7"/>
        <v>11.700000000000003</v>
      </c>
      <c r="AA21" s="40">
        <f t="shared" ca="1" si="7"/>
        <v>12.350000000000003</v>
      </c>
      <c r="AB21" s="40">
        <f t="shared" ca="1" si="7"/>
        <v>13.000000000000004</v>
      </c>
      <c r="AC21" s="40">
        <f t="shared" ca="1" si="7"/>
        <v>13.650000000000004</v>
      </c>
      <c r="AD21" s="40">
        <f t="shared" ca="1" si="7"/>
        <v>14.950000000000005</v>
      </c>
      <c r="AE21" s="40">
        <f t="shared" ca="1" si="7"/>
        <v>15.600000000000005</v>
      </c>
      <c r="AF21" s="40">
        <f t="shared" ca="1" si="7"/>
        <v>16.900000000000006</v>
      </c>
      <c r="AG21" s="40">
        <f t="shared" ca="1" si="7"/>
        <v>17.550000000000004</v>
      </c>
      <c r="AH21" s="40">
        <f t="shared" ca="1" si="7"/>
        <v>18.850000000000005</v>
      </c>
      <c r="AI21" s="40">
        <f t="shared" ca="1" si="7"/>
        <v>20.150000000000006</v>
      </c>
      <c r="AJ21" s="40">
        <f t="shared" ca="1" si="7"/>
        <v>20.800000000000004</v>
      </c>
      <c r="AK21" s="40">
        <f t="shared" ca="1" si="7"/>
        <v>22.100000000000005</v>
      </c>
      <c r="AL21" s="40">
        <f t="shared" ca="1" si="7"/>
        <v>23.400000000000006</v>
      </c>
    </row>
    <row r="22" spans="1:38" x14ac:dyDescent="0.25">
      <c r="A22" s="2" t="s">
        <v>310</v>
      </c>
      <c r="C22" s="15">
        <f ca="1">ROUND(C21,0)-ROUND(0,0)</f>
        <v>0</v>
      </c>
      <c r="D22" s="15">
        <f t="shared" ref="D22:AL22" ca="1" si="8">ROUND(D21,0)-ROUND(C21,0)</f>
        <v>0</v>
      </c>
      <c r="E22" s="15">
        <f t="shared" ca="1" si="8"/>
        <v>2</v>
      </c>
      <c r="F22" s="15">
        <f t="shared" ca="1" si="8"/>
        <v>1</v>
      </c>
      <c r="G22" s="15">
        <f t="shared" ca="1" si="8"/>
        <v>0</v>
      </c>
      <c r="H22" s="15">
        <f t="shared" ca="1" si="8"/>
        <v>0</v>
      </c>
      <c r="I22" s="15">
        <f t="shared" ca="1" si="8"/>
        <v>0</v>
      </c>
      <c r="J22" s="15">
        <f t="shared" ca="1" si="8"/>
        <v>0</v>
      </c>
      <c r="K22" s="15">
        <f t="shared" ca="1" si="8"/>
        <v>1</v>
      </c>
      <c r="L22" s="15">
        <f t="shared" ca="1" si="8"/>
        <v>0</v>
      </c>
      <c r="M22" s="15">
        <f t="shared" ca="1" si="8"/>
        <v>0</v>
      </c>
      <c r="N22" s="15">
        <f t="shared" ca="1" si="8"/>
        <v>1</v>
      </c>
      <c r="O22" s="15">
        <f t="shared" ca="1" si="8"/>
        <v>0</v>
      </c>
      <c r="P22" s="15">
        <f t="shared" ca="1" si="8"/>
        <v>0</v>
      </c>
      <c r="Q22" s="15">
        <f t="shared" ca="1" si="8"/>
        <v>0</v>
      </c>
      <c r="R22" s="15">
        <f t="shared" ca="1" si="8"/>
        <v>1</v>
      </c>
      <c r="S22" s="15">
        <f t="shared" ca="1" si="8"/>
        <v>1</v>
      </c>
      <c r="T22" s="15">
        <f t="shared" ca="1" si="8"/>
        <v>0</v>
      </c>
      <c r="U22" s="15">
        <f t="shared" ca="1" si="8"/>
        <v>1</v>
      </c>
      <c r="V22" s="15">
        <f t="shared" ca="1" si="8"/>
        <v>0</v>
      </c>
      <c r="W22" s="15">
        <f t="shared" ca="1" si="8"/>
        <v>1</v>
      </c>
      <c r="X22" s="15">
        <f t="shared" ca="1" si="8"/>
        <v>1</v>
      </c>
      <c r="Y22" s="15">
        <f t="shared" ca="1" si="8"/>
        <v>1</v>
      </c>
      <c r="Z22" s="15">
        <f t="shared" ca="1" si="8"/>
        <v>1</v>
      </c>
      <c r="AA22" s="15">
        <f t="shared" ca="1" si="8"/>
        <v>0</v>
      </c>
      <c r="AB22" s="15">
        <f t="shared" ca="1" si="8"/>
        <v>1</v>
      </c>
      <c r="AC22" s="15">
        <f t="shared" ca="1" si="8"/>
        <v>1</v>
      </c>
      <c r="AD22" s="15">
        <f t="shared" ca="1" si="8"/>
        <v>1</v>
      </c>
      <c r="AE22" s="15">
        <f t="shared" ca="1" si="8"/>
        <v>1</v>
      </c>
      <c r="AF22" s="15">
        <f t="shared" ca="1" si="8"/>
        <v>1</v>
      </c>
      <c r="AG22" s="15">
        <f t="shared" ca="1" si="8"/>
        <v>1</v>
      </c>
      <c r="AH22" s="15">
        <f t="shared" ca="1" si="8"/>
        <v>1</v>
      </c>
      <c r="AI22" s="15">
        <f t="shared" ca="1" si="8"/>
        <v>1</v>
      </c>
      <c r="AJ22" s="15">
        <f t="shared" ca="1" si="8"/>
        <v>1</v>
      </c>
      <c r="AK22" s="15">
        <f t="shared" ca="1" si="8"/>
        <v>1</v>
      </c>
      <c r="AL22" s="15">
        <f t="shared" ca="1" si="8"/>
        <v>1</v>
      </c>
    </row>
    <row r="23" spans="1:38" x14ac:dyDescent="0.25">
      <c r="A23" s="2" t="s">
        <v>311</v>
      </c>
      <c r="C23" s="15">
        <f t="shared" ref="C23:AL23" ca="1" si="9">C19-C22</f>
        <v>0</v>
      </c>
      <c r="D23" s="15">
        <f t="shared" ca="1" si="9"/>
        <v>0</v>
      </c>
      <c r="E23" s="15">
        <f t="shared" ca="1" si="9"/>
        <v>1</v>
      </c>
      <c r="F23" s="15">
        <f t="shared" ca="1" si="9"/>
        <v>0</v>
      </c>
      <c r="G23" s="15">
        <f t="shared" ca="1" si="9"/>
        <v>0</v>
      </c>
      <c r="H23" s="15">
        <f t="shared" ca="1" si="9"/>
        <v>0</v>
      </c>
      <c r="I23" s="15">
        <f t="shared" ca="1" si="9"/>
        <v>1</v>
      </c>
      <c r="J23" s="15">
        <f t="shared" ca="1" si="9"/>
        <v>0</v>
      </c>
      <c r="K23" s="15">
        <f t="shared" ca="1" si="9"/>
        <v>0</v>
      </c>
      <c r="L23" s="15">
        <f t="shared" ca="1" si="9"/>
        <v>0</v>
      </c>
      <c r="M23" s="15">
        <f t="shared" ca="1" si="9"/>
        <v>0</v>
      </c>
      <c r="N23" s="15">
        <f t="shared" ca="1" si="9"/>
        <v>0</v>
      </c>
      <c r="O23" s="15">
        <f t="shared" ca="1" si="9"/>
        <v>0</v>
      </c>
      <c r="P23" s="15">
        <f t="shared" ca="1" si="9"/>
        <v>0</v>
      </c>
      <c r="Q23" s="15">
        <f t="shared" ca="1" si="9"/>
        <v>1</v>
      </c>
      <c r="R23" s="15">
        <f t="shared" ca="1" si="9"/>
        <v>0</v>
      </c>
      <c r="S23" s="15">
        <f t="shared" ca="1" si="9"/>
        <v>0</v>
      </c>
      <c r="T23" s="15">
        <f t="shared" ca="1" si="9"/>
        <v>1</v>
      </c>
      <c r="U23" s="15">
        <f t="shared" ca="1" si="9"/>
        <v>0</v>
      </c>
      <c r="V23" s="15">
        <f t="shared" ca="1" si="9"/>
        <v>1</v>
      </c>
      <c r="W23" s="15">
        <f t="shared" ca="1" si="9"/>
        <v>0</v>
      </c>
      <c r="X23" s="15">
        <f t="shared" ca="1" si="9"/>
        <v>0</v>
      </c>
      <c r="Y23" s="15">
        <f t="shared" ca="1" si="9"/>
        <v>1</v>
      </c>
      <c r="Z23" s="15">
        <f t="shared" ca="1" si="9"/>
        <v>0</v>
      </c>
      <c r="AA23" s="15">
        <f t="shared" ca="1" si="9"/>
        <v>1</v>
      </c>
      <c r="AB23" s="15">
        <f t="shared" ca="1" si="9"/>
        <v>0</v>
      </c>
      <c r="AC23" s="15">
        <f t="shared" ca="1" si="9"/>
        <v>0</v>
      </c>
      <c r="AD23" s="15">
        <f t="shared" ca="1" si="9"/>
        <v>1</v>
      </c>
      <c r="AE23" s="15">
        <f t="shared" ca="1" si="9"/>
        <v>0</v>
      </c>
      <c r="AF23" s="15">
        <f t="shared" ca="1" si="9"/>
        <v>1</v>
      </c>
      <c r="AG23" s="15">
        <f t="shared" ca="1" si="9"/>
        <v>0</v>
      </c>
      <c r="AH23" s="15">
        <f t="shared" ca="1" si="9"/>
        <v>1</v>
      </c>
      <c r="AI23" s="15">
        <f t="shared" ca="1" si="9"/>
        <v>1</v>
      </c>
      <c r="AJ23" s="15">
        <f t="shared" ca="1" si="9"/>
        <v>0</v>
      </c>
      <c r="AK23" s="15">
        <f t="shared" ca="1" si="9"/>
        <v>1</v>
      </c>
      <c r="AL23" s="15">
        <f t="shared" ca="1" si="9"/>
        <v>1</v>
      </c>
    </row>
    <row r="24" spans="1:38" hidden="1" outlineLevel="1" x14ac:dyDescent="0.25">
      <c r="A24" s="39" t="s">
        <v>312</v>
      </c>
      <c r="C24" s="40">
        <f>C12*Assumptions!$B$20</f>
        <v>0.32500000000000001</v>
      </c>
      <c r="D24" s="40">
        <f>D12*Assumptions!$B$20</f>
        <v>0.30000000000000004</v>
      </c>
      <c r="E24" s="40">
        <f>E12*Assumptions!$B$20</f>
        <v>0.32500000000000001</v>
      </c>
      <c r="F24" s="40">
        <f>F12*Assumptions!$B$20</f>
        <v>0.30000000000000004</v>
      </c>
      <c r="G24" s="40">
        <f>G12*Assumptions!$B$20</f>
        <v>0.32500000000000001</v>
      </c>
      <c r="H24" s="40">
        <f>H12*Assumptions!$B$20</f>
        <v>0.30000000000000004</v>
      </c>
      <c r="I24" s="40">
        <f>I12*Assumptions!$B$20</f>
        <v>0.32500000000000001</v>
      </c>
      <c r="J24" s="40">
        <f>J12*Assumptions!$B$20</f>
        <v>0.30000000000000004</v>
      </c>
      <c r="K24" s="40">
        <f>K12*Assumptions!$B$20</f>
        <v>0.32500000000000001</v>
      </c>
      <c r="L24" s="40">
        <f>L12*Assumptions!$B$20</f>
        <v>0.30000000000000004</v>
      </c>
      <c r="M24" s="40">
        <f>M12*Assumptions!$B$20</f>
        <v>0.32500000000000001</v>
      </c>
      <c r="N24" s="40">
        <f>N12*Assumptions!$B$20</f>
        <v>0.30000000000000004</v>
      </c>
      <c r="O24" s="40">
        <f>O12*Assumptions!$B$20</f>
        <v>0.9</v>
      </c>
      <c r="P24" s="40">
        <f>P12*Assumptions!$B$20</f>
        <v>0.92500000000000004</v>
      </c>
      <c r="Q24" s="40">
        <f>Q12*Assumptions!$B$20</f>
        <v>0.9</v>
      </c>
      <c r="R24" s="40">
        <f>R12*Assumptions!$B$20</f>
        <v>0.92500000000000004</v>
      </c>
      <c r="S24" s="40">
        <f>S12*Assumptions!$B$20</f>
        <v>0.9</v>
      </c>
      <c r="T24" s="40">
        <f>T12*Assumptions!$B$20</f>
        <v>0.92500000000000004</v>
      </c>
      <c r="U24" s="40">
        <f>U12*Assumptions!$B$20</f>
        <v>0.9</v>
      </c>
      <c r="V24" s="40">
        <f>V12*Assumptions!$B$20</f>
        <v>0.92500000000000004</v>
      </c>
      <c r="W24" s="40">
        <f>W12*Assumptions!$B$20</f>
        <v>0.9</v>
      </c>
      <c r="X24" s="40">
        <f>X12*Assumptions!$B$20</f>
        <v>0.92500000000000004</v>
      </c>
      <c r="Y24" s="40">
        <f>Y12*Assumptions!$B$20</f>
        <v>0.9</v>
      </c>
      <c r="Z24" s="40">
        <f>Z12*Assumptions!$B$20</f>
        <v>0.92500000000000004</v>
      </c>
      <c r="AA24" s="40">
        <f>AA12*Assumptions!$B$20</f>
        <v>1.375</v>
      </c>
      <c r="AB24" s="40">
        <f>AB12*Assumptions!$B$20</f>
        <v>1.375</v>
      </c>
      <c r="AC24" s="40">
        <f>AC12*Assumptions!$B$20</f>
        <v>1.375</v>
      </c>
      <c r="AD24" s="40">
        <f>AD12*Assumptions!$B$20</f>
        <v>1.375</v>
      </c>
      <c r="AE24" s="40">
        <f>AE12*Assumptions!$B$20</f>
        <v>1.4000000000000001</v>
      </c>
      <c r="AF24" s="40">
        <f>AF12*Assumptions!$B$20</f>
        <v>1.375</v>
      </c>
      <c r="AG24" s="40">
        <f>AG12*Assumptions!$B$20</f>
        <v>1.375</v>
      </c>
      <c r="AH24" s="40">
        <f>AH12*Assumptions!$B$20</f>
        <v>1.375</v>
      </c>
      <c r="AI24" s="40">
        <f>AI12*Assumptions!$B$20</f>
        <v>1.375</v>
      </c>
      <c r="AJ24" s="40">
        <f>AJ12*Assumptions!$B$20</f>
        <v>1.4000000000000001</v>
      </c>
      <c r="AK24" s="40">
        <f>AK12*Assumptions!$B$20</f>
        <v>1.375</v>
      </c>
      <c r="AL24" s="40">
        <f>AL12*Assumptions!$B$20</f>
        <v>1.375</v>
      </c>
    </row>
    <row r="25" spans="1:38" hidden="1" outlineLevel="1" x14ac:dyDescent="0.25">
      <c r="A25" s="39" t="s">
        <v>313</v>
      </c>
      <c r="C25" s="40">
        <f>0+C24</f>
        <v>0.32500000000000001</v>
      </c>
      <c r="D25" s="40">
        <f t="shared" ref="D25:AL25" si="10">C25+D24</f>
        <v>0.625</v>
      </c>
      <c r="E25" s="40">
        <f t="shared" si="10"/>
        <v>0.95</v>
      </c>
      <c r="F25" s="40">
        <f t="shared" si="10"/>
        <v>1.25</v>
      </c>
      <c r="G25" s="40">
        <f t="shared" si="10"/>
        <v>1.575</v>
      </c>
      <c r="H25" s="40">
        <f t="shared" si="10"/>
        <v>1.875</v>
      </c>
      <c r="I25" s="40">
        <f t="shared" si="10"/>
        <v>2.2000000000000002</v>
      </c>
      <c r="J25" s="40">
        <f t="shared" si="10"/>
        <v>2.5</v>
      </c>
      <c r="K25" s="40">
        <f t="shared" si="10"/>
        <v>2.8250000000000002</v>
      </c>
      <c r="L25" s="40">
        <f t="shared" si="10"/>
        <v>3.125</v>
      </c>
      <c r="M25" s="40">
        <f t="shared" si="10"/>
        <v>3.45</v>
      </c>
      <c r="N25" s="40">
        <f t="shared" si="10"/>
        <v>3.75</v>
      </c>
      <c r="O25" s="40">
        <f t="shared" si="10"/>
        <v>4.6500000000000004</v>
      </c>
      <c r="P25" s="40">
        <f t="shared" si="10"/>
        <v>5.5750000000000002</v>
      </c>
      <c r="Q25" s="40">
        <f t="shared" si="10"/>
        <v>6.4750000000000005</v>
      </c>
      <c r="R25" s="40">
        <f t="shared" si="10"/>
        <v>7.4</v>
      </c>
      <c r="S25" s="40">
        <f t="shared" si="10"/>
        <v>8.3000000000000007</v>
      </c>
      <c r="T25" s="40">
        <f t="shared" si="10"/>
        <v>9.2250000000000014</v>
      </c>
      <c r="U25" s="40">
        <f t="shared" si="10"/>
        <v>10.125000000000002</v>
      </c>
      <c r="V25" s="40">
        <f t="shared" si="10"/>
        <v>11.050000000000002</v>
      </c>
      <c r="W25" s="40">
        <f t="shared" si="10"/>
        <v>11.950000000000003</v>
      </c>
      <c r="X25" s="40">
        <f t="shared" si="10"/>
        <v>12.875000000000004</v>
      </c>
      <c r="Y25" s="40">
        <f t="shared" si="10"/>
        <v>13.775000000000004</v>
      </c>
      <c r="Z25" s="40">
        <f t="shared" si="10"/>
        <v>14.700000000000005</v>
      </c>
      <c r="AA25" s="40">
        <f t="shared" si="10"/>
        <v>16.075000000000003</v>
      </c>
      <c r="AB25" s="40">
        <f t="shared" si="10"/>
        <v>17.450000000000003</v>
      </c>
      <c r="AC25" s="40">
        <f t="shared" si="10"/>
        <v>18.825000000000003</v>
      </c>
      <c r="AD25" s="40">
        <f t="shared" si="10"/>
        <v>20.200000000000003</v>
      </c>
      <c r="AE25" s="40">
        <f t="shared" si="10"/>
        <v>21.6</v>
      </c>
      <c r="AF25" s="40">
        <f t="shared" si="10"/>
        <v>22.975000000000001</v>
      </c>
      <c r="AG25" s="40">
        <f t="shared" si="10"/>
        <v>24.35</v>
      </c>
      <c r="AH25" s="40">
        <f t="shared" si="10"/>
        <v>25.725000000000001</v>
      </c>
      <c r="AI25" s="40">
        <f t="shared" si="10"/>
        <v>27.1</v>
      </c>
      <c r="AJ25" s="40">
        <f t="shared" si="10"/>
        <v>28.5</v>
      </c>
      <c r="AK25" s="40">
        <f t="shared" si="10"/>
        <v>29.875</v>
      </c>
      <c r="AL25" s="40">
        <f t="shared" si="10"/>
        <v>31.25</v>
      </c>
    </row>
    <row r="26" spans="1:38" x14ac:dyDescent="0.25">
      <c r="A26" s="2" t="s">
        <v>314</v>
      </c>
      <c r="C26" s="15">
        <f>ROUND(C25,0)-ROUND(0,0)</f>
        <v>0</v>
      </c>
      <c r="D26" s="15">
        <f t="shared" ref="D26:AL26" si="11">ROUND(D25,0)-ROUND(C25,0)</f>
        <v>1</v>
      </c>
      <c r="E26" s="15">
        <f t="shared" si="11"/>
        <v>0</v>
      </c>
      <c r="F26" s="15">
        <f t="shared" si="11"/>
        <v>0</v>
      </c>
      <c r="G26" s="15">
        <f t="shared" si="11"/>
        <v>1</v>
      </c>
      <c r="H26" s="15">
        <f t="shared" si="11"/>
        <v>0</v>
      </c>
      <c r="I26" s="15">
        <f t="shared" si="11"/>
        <v>0</v>
      </c>
      <c r="J26" s="15">
        <f t="shared" si="11"/>
        <v>1</v>
      </c>
      <c r="K26" s="15">
        <f t="shared" si="11"/>
        <v>0</v>
      </c>
      <c r="L26" s="15">
        <f t="shared" si="11"/>
        <v>0</v>
      </c>
      <c r="M26" s="15">
        <f t="shared" si="11"/>
        <v>0</v>
      </c>
      <c r="N26" s="15">
        <f t="shared" si="11"/>
        <v>1</v>
      </c>
      <c r="O26" s="15">
        <f t="shared" si="11"/>
        <v>1</v>
      </c>
      <c r="P26" s="15">
        <f t="shared" si="11"/>
        <v>1</v>
      </c>
      <c r="Q26" s="15">
        <f t="shared" si="11"/>
        <v>0</v>
      </c>
      <c r="R26" s="15">
        <f t="shared" si="11"/>
        <v>1</v>
      </c>
      <c r="S26" s="15">
        <f t="shared" si="11"/>
        <v>1</v>
      </c>
      <c r="T26" s="15">
        <f t="shared" si="11"/>
        <v>1</v>
      </c>
      <c r="U26" s="15">
        <f t="shared" si="11"/>
        <v>1</v>
      </c>
      <c r="V26" s="15">
        <f t="shared" si="11"/>
        <v>1</v>
      </c>
      <c r="W26" s="15">
        <f t="shared" si="11"/>
        <v>1</v>
      </c>
      <c r="X26" s="15">
        <f t="shared" si="11"/>
        <v>1</v>
      </c>
      <c r="Y26" s="15">
        <f t="shared" si="11"/>
        <v>1</v>
      </c>
      <c r="Z26" s="15">
        <f t="shared" si="11"/>
        <v>1</v>
      </c>
      <c r="AA26" s="15">
        <f t="shared" si="11"/>
        <v>1</v>
      </c>
      <c r="AB26" s="15">
        <f t="shared" si="11"/>
        <v>1</v>
      </c>
      <c r="AC26" s="15">
        <f t="shared" si="11"/>
        <v>2</v>
      </c>
      <c r="AD26" s="15">
        <f t="shared" si="11"/>
        <v>1</v>
      </c>
      <c r="AE26" s="15">
        <f t="shared" si="11"/>
        <v>2</v>
      </c>
      <c r="AF26" s="15">
        <f t="shared" si="11"/>
        <v>1</v>
      </c>
      <c r="AG26" s="15">
        <f t="shared" si="11"/>
        <v>1</v>
      </c>
      <c r="AH26" s="15">
        <f t="shared" si="11"/>
        <v>2</v>
      </c>
      <c r="AI26" s="15">
        <f t="shared" si="11"/>
        <v>1</v>
      </c>
      <c r="AJ26" s="15">
        <f t="shared" si="11"/>
        <v>2</v>
      </c>
      <c r="AK26" s="15">
        <f t="shared" si="11"/>
        <v>1</v>
      </c>
      <c r="AL26" s="15">
        <f t="shared" si="11"/>
        <v>1</v>
      </c>
    </row>
    <row r="27" spans="1:38" hidden="1" outlineLevel="1" x14ac:dyDescent="0.25">
      <c r="A27" s="39" t="s">
        <v>315</v>
      </c>
      <c r="C27" s="40">
        <f>INDEX(Assumptions!$B$21:$B$23,C7)/12</f>
        <v>0</v>
      </c>
      <c r="D27" s="40">
        <f>INDEX(Assumptions!$B$21:$B$23,D7)/12</f>
        <v>0</v>
      </c>
      <c r="E27" s="40">
        <f>INDEX(Assumptions!$B$21:$B$23,E7)/12</f>
        <v>0</v>
      </c>
      <c r="F27" s="40">
        <f>INDEX(Assumptions!$B$21:$B$23,F7)/12</f>
        <v>0</v>
      </c>
      <c r="G27" s="40">
        <f>INDEX(Assumptions!$B$21:$B$23,G7)/12</f>
        <v>0</v>
      </c>
      <c r="H27" s="40">
        <f>INDEX(Assumptions!$B$21:$B$23,H7)/12</f>
        <v>0</v>
      </c>
      <c r="I27" s="40">
        <f>INDEX(Assumptions!$B$21:$B$23,I7)/12</f>
        <v>0</v>
      </c>
      <c r="J27" s="40">
        <f>INDEX(Assumptions!$B$21:$B$23,J7)/12</f>
        <v>0</v>
      </c>
      <c r="K27" s="40">
        <f>INDEX(Assumptions!$B$21:$B$23,K7)/12</f>
        <v>0</v>
      </c>
      <c r="L27" s="40">
        <f>INDEX(Assumptions!$B$21:$B$23,L7)/12</f>
        <v>0</v>
      </c>
      <c r="M27" s="40">
        <f>INDEX(Assumptions!$B$21:$B$23,M7)/12</f>
        <v>0</v>
      </c>
      <c r="N27" s="40">
        <f>INDEX(Assumptions!$B$21:$B$23,N7)/12</f>
        <v>0</v>
      </c>
      <c r="O27" s="40">
        <f>INDEX(Assumptions!$B$21:$B$23,O7)/12</f>
        <v>8.3333333333333329E-2</v>
      </c>
      <c r="P27" s="40">
        <f>INDEX(Assumptions!$B$21:$B$23,P7)/12</f>
        <v>8.3333333333333329E-2</v>
      </c>
      <c r="Q27" s="40">
        <f>INDEX(Assumptions!$B$21:$B$23,Q7)/12</f>
        <v>8.3333333333333329E-2</v>
      </c>
      <c r="R27" s="40">
        <f>INDEX(Assumptions!$B$21:$B$23,R7)/12</f>
        <v>8.3333333333333329E-2</v>
      </c>
      <c r="S27" s="40">
        <f>INDEX(Assumptions!$B$21:$B$23,S7)/12</f>
        <v>8.3333333333333329E-2</v>
      </c>
      <c r="T27" s="40">
        <f>INDEX(Assumptions!$B$21:$B$23,T7)/12</f>
        <v>8.3333333333333329E-2</v>
      </c>
      <c r="U27" s="40">
        <f>INDEX(Assumptions!$B$21:$B$23,U7)/12</f>
        <v>8.3333333333333329E-2</v>
      </c>
      <c r="V27" s="40">
        <f>INDEX(Assumptions!$B$21:$B$23,V7)/12</f>
        <v>8.3333333333333329E-2</v>
      </c>
      <c r="W27" s="40">
        <f>INDEX(Assumptions!$B$21:$B$23,W7)/12</f>
        <v>8.3333333333333329E-2</v>
      </c>
      <c r="X27" s="40">
        <f>INDEX(Assumptions!$B$21:$B$23,X7)/12</f>
        <v>8.3333333333333329E-2</v>
      </c>
      <c r="Y27" s="40">
        <f>INDEX(Assumptions!$B$21:$B$23,Y7)/12</f>
        <v>8.3333333333333329E-2</v>
      </c>
      <c r="Z27" s="40">
        <f>INDEX(Assumptions!$B$21:$B$23,Z7)/12</f>
        <v>8.3333333333333329E-2</v>
      </c>
      <c r="AA27" s="40">
        <f>INDEX(Assumptions!$B$21:$B$23,AA7)/12</f>
        <v>0.16666666666666666</v>
      </c>
      <c r="AB27" s="40">
        <f>INDEX(Assumptions!$B$21:$B$23,AB7)/12</f>
        <v>0.16666666666666666</v>
      </c>
      <c r="AC27" s="40">
        <f>INDEX(Assumptions!$B$21:$B$23,AC7)/12</f>
        <v>0.16666666666666666</v>
      </c>
      <c r="AD27" s="40">
        <f>INDEX(Assumptions!$B$21:$B$23,AD7)/12</f>
        <v>0.16666666666666666</v>
      </c>
      <c r="AE27" s="40">
        <f>INDEX(Assumptions!$B$21:$B$23,AE7)/12</f>
        <v>0.16666666666666666</v>
      </c>
      <c r="AF27" s="40">
        <f>INDEX(Assumptions!$B$21:$B$23,AF7)/12</f>
        <v>0.16666666666666666</v>
      </c>
      <c r="AG27" s="40">
        <f>INDEX(Assumptions!$B$21:$B$23,AG7)/12</f>
        <v>0.16666666666666666</v>
      </c>
      <c r="AH27" s="40">
        <f>INDEX(Assumptions!$B$21:$B$23,AH7)/12</f>
        <v>0.16666666666666666</v>
      </c>
      <c r="AI27" s="40">
        <f>INDEX(Assumptions!$B$21:$B$23,AI7)/12</f>
        <v>0.16666666666666666</v>
      </c>
      <c r="AJ27" s="40">
        <f>INDEX(Assumptions!$B$21:$B$23,AJ7)/12</f>
        <v>0.16666666666666666</v>
      </c>
      <c r="AK27" s="40">
        <f>INDEX(Assumptions!$B$21:$B$23,AK7)/12</f>
        <v>0.16666666666666666</v>
      </c>
      <c r="AL27" s="40">
        <f>INDEX(Assumptions!$B$21:$B$23,AL7)/12</f>
        <v>0.16666666666666666</v>
      </c>
    </row>
    <row r="28" spans="1:38" hidden="1" outlineLevel="1" x14ac:dyDescent="0.25">
      <c r="A28" s="39" t="s">
        <v>316</v>
      </c>
      <c r="C28" s="40">
        <f>0+C27</f>
        <v>0</v>
      </c>
      <c r="D28" s="40">
        <f t="shared" ref="D28:AL28" si="12">C28+D27</f>
        <v>0</v>
      </c>
      <c r="E28" s="40">
        <f t="shared" si="12"/>
        <v>0</v>
      </c>
      <c r="F28" s="40">
        <f t="shared" si="12"/>
        <v>0</v>
      </c>
      <c r="G28" s="40">
        <f t="shared" si="12"/>
        <v>0</v>
      </c>
      <c r="H28" s="40">
        <f t="shared" si="12"/>
        <v>0</v>
      </c>
      <c r="I28" s="40">
        <f t="shared" si="12"/>
        <v>0</v>
      </c>
      <c r="J28" s="40">
        <f t="shared" si="12"/>
        <v>0</v>
      </c>
      <c r="K28" s="40">
        <f t="shared" si="12"/>
        <v>0</v>
      </c>
      <c r="L28" s="40">
        <f t="shared" si="12"/>
        <v>0</v>
      </c>
      <c r="M28" s="40">
        <f t="shared" si="12"/>
        <v>0</v>
      </c>
      <c r="N28" s="40">
        <f t="shared" si="12"/>
        <v>0</v>
      </c>
      <c r="O28" s="40">
        <f t="shared" si="12"/>
        <v>8.3333333333333329E-2</v>
      </c>
      <c r="P28" s="40">
        <f t="shared" si="12"/>
        <v>0.16666666666666666</v>
      </c>
      <c r="Q28" s="40">
        <f t="shared" si="12"/>
        <v>0.25</v>
      </c>
      <c r="R28" s="40">
        <f t="shared" si="12"/>
        <v>0.33333333333333331</v>
      </c>
      <c r="S28" s="40">
        <f t="shared" si="12"/>
        <v>0.41666666666666663</v>
      </c>
      <c r="T28" s="40">
        <f t="shared" si="12"/>
        <v>0.49999999999999994</v>
      </c>
      <c r="U28" s="40">
        <f t="shared" si="12"/>
        <v>0.58333333333333326</v>
      </c>
      <c r="V28" s="40">
        <f t="shared" si="12"/>
        <v>0.66666666666666663</v>
      </c>
      <c r="W28" s="40">
        <f t="shared" si="12"/>
        <v>0.75</v>
      </c>
      <c r="X28" s="40">
        <f t="shared" si="12"/>
        <v>0.83333333333333337</v>
      </c>
      <c r="Y28" s="40">
        <f t="shared" si="12"/>
        <v>0.91666666666666674</v>
      </c>
      <c r="Z28" s="40">
        <f t="shared" si="12"/>
        <v>1</v>
      </c>
      <c r="AA28" s="40">
        <f t="shared" si="12"/>
        <v>1.1666666666666667</v>
      </c>
      <c r="AB28" s="40">
        <f t="shared" si="12"/>
        <v>1.3333333333333335</v>
      </c>
      <c r="AC28" s="40">
        <f t="shared" si="12"/>
        <v>1.5000000000000002</v>
      </c>
      <c r="AD28" s="40">
        <f t="shared" si="12"/>
        <v>1.666666666666667</v>
      </c>
      <c r="AE28" s="40">
        <f t="shared" si="12"/>
        <v>1.8333333333333337</v>
      </c>
      <c r="AF28" s="40">
        <f t="shared" si="12"/>
        <v>2.0000000000000004</v>
      </c>
      <c r="AG28" s="40">
        <f t="shared" si="12"/>
        <v>2.166666666666667</v>
      </c>
      <c r="AH28" s="40">
        <f t="shared" si="12"/>
        <v>2.3333333333333335</v>
      </c>
      <c r="AI28" s="40">
        <f t="shared" si="12"/>
        <v>2.5</v>
      </c>
      <c r="AJ28" s="40">
        <f t="shared" si="12"/>
        <v>2.6666666666666665</v>
      </c>
      <c r="AK28" s="40">
        <f t="shared" si="12"/>
        <v>2.833333333333333</v>
      </c>
      <c r="AL28" s="40">
        <f t="shared" si="12"/>
        <v>2.9999999999999996</v>
      </c>
    </row>
    <row r="29" spans="1:38" x14ac:dyDescent="0.25">
      <c r="A29" s="2" t="s">
        <v>317</v>
      </c>
      <c r="C29" s="15">
        <f t="shared" ref="C29:AL29" si="13">IF(OR(C6=19,C6=27,C6=33),1,0)</f>
        <v>0</v>
      </c>
      <c r="D29" s="15">
        <f t="shared" si="13"/>
        <v>0</v>
      </c>
      <c r="E29" s="15">
        <f t="shared" si="13"/>
        <v>0</v>
      </c>
      <c r="F29" s="15">
        <f t="shared" si="13"/>
        <v>0</v>
      </c>
      <c r="G29" s="15">
        <f t="shared" si="13"/>
        <v>0</v>
      </c>
      <c r="H29" s="15">
        <f t="shared" si="13"/>
        <v>0</v>
      </c>
      <c r="I29" s="15">
        <f t="shared" si="13"/>
        <v>0</v>
      </c>
      <c r="J29" s="15">
        <f t="shared" si="13"/>
        <v>0</v>
      </c>
      <c r="K29" s="15">
        <f t="shared" si="13"/>
        <v>0</v>
      </c>
      <c r="L29" s="15">
        <f t="shared" si="13"/>
        <v>0</v>
      </c>
      <c r="M29" s="15">
        <f t="shared" si="13"/>
        <v>0</v>
      </c>
      <c r="N29" s="15">
        <f t="shared" si="13"/>
        <v>0</v>
      </c>
      <c r="O29" s="15">
        <f t="shared" si="13"/>
        <v>0</v>
      </c>
      <c r="P29" s="15">
        <f t="shared" si="13"/>
        <v>0</v>
      </c>
      <c r="Q29" s="15">
        <f t="shared" si="13"/>
        <v>0</v>
      </c>
      <c r="R29" s="15">
        <f t="shared" si="13"/>
        <v>0</v>
      </c>
      <c r="S29" s="15">
        <f t="shared" si="13"/>
        <v>0</v>
      </c>
      <c r="T29" s="15">
        <f t="shared" si="13"/>
        <v>0</v>
      </c>
      <c r="U29" s="15">
        <f t="shared" si="13"/>
        <v>1</v>
      </c>
      <c r="V29" s="15">
        <f t="shared" si="13"/>
        <v>0</v>
      </c>
      <c r="W29" s="15">
        <f t="shared" si="13"/>
        <v>0</v>
      </c>
      <c r="X29" s="15">
        <f t="shared" si="13"/>
        <v>0</v>
      </c>
      <c r="Y29" s="15">
        <f t="shared" si="13"/>
        <v>0</v>
      </c>
      <c r="Z29" s="15">
        <f t="shared" si="13"/>
        <v>0</v>
      </c>
      <c r="AA29" s="15">
        <f t="shared" si="13"/>
        <v>0</v>
      </c>
      <c r="AB29" s="15">
        <f t="shared" si="13"/>
        <v>0</v>
      </c>
      <c r="AC29" s="15">
        <f t="shared" si="13"/>
        <v>1</v>
      </c>
      <c r="AD29" s="15">
        <f t="shared" si="13"/>
        <v>0</v>
      </c>
      <c r="AE29" s="15">
        <f t="shared" si="13"/>
        <v>0</v>
      </c>
      <c r="AF29" s="15">
        <f t="shared" si="13"/>
        <v>0</v>
      </c>
      <c r="AG29" s="15">
        <f t="shared" si="13"/>
        <v>0</v>
      </c>
      <c r="AH29" s="15">
        <f t="shared" si="13"/>
        <v>0</v>
      </c>
      <c r="AI29" s="15">
        <f t="shared" si="13"/>
        <v>1</v>
      </c>
      <c r="AJ29" s="15">
        <f t="shared" si="13"/>
        <v>0</v>
      </c>
      <c r="AK29" s="15">
        <f t="shared" si="13"/>
        <v>0</v>
      </c>
      <c r="AL29" s="15">
        <f t="shared" si="13"/>
        <v>0</v>
      </c>
    </row>
    <row r="30" spans="1:38" x14ac:dyDescent="0.25">
      <c r="A30" s="3" t="s">
        <v>318</v>
      </c>
      <c r="C30" s="41">
        <f t="shared" ref="C30:AL30" ca="1" si="14">C23+C26</f>
        <v>0</v>
      </c>
      <c r="D30" s="41">
        <f t="shared" ca="1" si="14"/>
        <v>1</v>
      </c>
      <c r="E30" s="41">
        <f t="shared" ca="1" si="14"/>
        <v>1</v>
      </c>
      <c r="F30" s="41">
        <f t="shared" ca="1" si="14"/>
        <v>0</v>
      </c>
      <c r="G30" s="41">
        <f t="shared" ca="1" si="14"/>
        <v>1</v>
      </c>
      <c r="H30" s="41">
        <f t="shared" ca="1" si="14"/>
        <v>0</v>
      </c>
      <c r="I30" s="41">
        <f t="shared" ca="1" si="14"/>
        <v>1</v>
      </c>
      <c r="J30" s="41">
        <f t="shared" ca="1" si="14"/>
        <v>1</v>
      </c>
      <c r="K30" s="41">
        <f t="shared" ca="1" si="14"/>
        <v>0</v>
      </c>
      <c r="L30" s="41">
        <f t="shared" ca="1" si="14"/>
        <v>0</v>
      </c>
      <c r="M30" s="41">
        <f t="shared" ca="1" si="14"/>
        <v>0</v>
      </c>
      <c r="N30" s="41">
        <f t="shared" ca="1" si="14"/>
        <v>1</v>
      </c>
      <c r="O30" s="41">
        <f t="shared" ca="1" si="14"/>
        <v>1</v>
      </c>
      <c r="P30" s="41">
        <f t="shared" ca="1" si="14"/>
        <v>1</v>
      </c>
      <c r="Q30" s="41">
        <f t="shared" ca="1" si="14"/>
        <v>1</v>
      </c>
      <c r="R30" s="41">
        <f t="shared" ca="1" si="14"/>
        <v>1</v>
      </c>
      <c r="S30" s="41">
        <f t="shared" ca="1" si="14"/>
        <v>1</v>
      </c>
      <c r="T30" s="41">
        <f t="shared" ca="1" si="14"/>
        <v>2</v>
      </c>
      <c r="U30" s="41">
        <f t="shared" ca="1" si="14"/>
        <v>1</v>
      </c>
      <c r="V30" s="41">
        <f t="shared" ca="1" si="14"/>
        <v>2</v>
      </c>
      <c r="W30" s="41">
        <f t="shared" ca="1" si="14"/>
        <v>1</v>
      </c>
      <c r="X30" s="41">
        <f t="shared" ca="1" si="14"/>
        <v>1</v>
      </c>
      <c r="Y30" s="41">
        <f t="shared" ca="1" si="14"/>
        <v>2</v>
      </c>
      <c r="Z30" s="41">
        <f t="shared" ca="1" si="14"/>
        <v>1</v>
      </c>
      <c r="AA30" s="41">
        <f t="shared" ca="1" si="14"/>
        <v>2</v>
      </c>
      <c r="AB30" s="41">
        <f t="shared" ca="1" si="14"/>
        <v>1</v>
      </c>
      <c r="AC30" s="41">
        <f t="shared" ca="1" si="14"/>
        <v>2</v>
      </c>
      <c r="AD30" s="41">
        <f t="shared" ca="1" si="14"/>
        <v>2</v>
      </c>
      <c r="AE30" s="41">
        <f t="shared" ca="1" si="14"/>
        <v>2</v>
      </c>
      <c r="AF30" s="41">
        <f t="shared" ca="1" si="14"/>
        <v>2</v>
      </c>
      <c r="AG30" s="41">
        <f t="shared" ca="1" si="14"/>
        <v>1</v>
      </c>
      <c r="AH30" s="41">
        <f t="shared" ca="1" si="14"/>
        <v>3</v>
      </c>
      <c r="AI30" s="41">
        <f t="shared" ca="1" si="14"/>
        <v>2</v>
      </c>
      <c r="AJ30" s="41">
        <f t="shared" ca="1" si="14"/>
        <v>2</v>
      </c>
      <c r="AK30" s="41">
        <f t="shared" ca="1" si="14"/>
        <v>2</v>
      </c>
      <c r="AL30" s="41">
        <f t="shared" ca="1" si="14"/>
        <v>2</v>
      </c>
    </row>
    <row r="31" spans="1:38" x14ac:dyDescent="0.25">
      <c r="A31" s="2" t="s">
        <v>319</v>
      </c>
      <c r="C31" s="15">
        <f t="shared" ref="C31:AL31" ca="1" si="15">C22+C29</f>
        <v>0</v>
      </c>
      <c r="D31" s="15">
        <f t="shared" ca="1" si="15"/>
        <v>0</v>
      </c>
      <c r="E31" s="15">
        <f t="shared" ca="1" si="15"/>
        <v>2</v>
      </c>
      <c r="F31" s="15">
        <f t="shared" ca="1" si="15"/>
        <v>1</v>
      </c>
      <c r="G31" s="15">
        <f t="shared" ca="1" si="15"/>
        <v>0</v>
      </c>
      <c r="H31" s="15">
        <f t="shared" ca="1" si="15"/>
        <v>0</v>
      </c>
      <c r="I31" s="15">
        <f t="shared" ca="1" si="15"/>
        <v>0</v>
      </c>
      <c r="J31" s="15">
        <f t="shared" ca="1" si="15"/>
        <v>0</v>
      </c>
      <c r="K31" s="15">
        <f t="shared" ca="1" si="15"/>
        <v>1</v>
      </c>
      <c r="L31" s="15">
        <f t="shared" ca="1" si="15"/>
        <v>0</v>
      </c>
      <c r="M31" s="15">
        <f t="shared" ca="1" si="15"/>
        <v>0</v>
      </c>
      <c r="N31" s="15">
        <f t="shared" ca="1" si="15"/>
        <v>1</v>
      </c>
      <c r="O31" s="15">
        <f t="shared" ca="1" si="15"/>
        <v>0</v>
      </c>
      <c r="P31" s="15">
        <f t="shared" ca="1" si="15"/>
        <v>0</v>
      </c>
      <c r="Q31" s="15">
        <f t="shared" ca="1" si="15"/>
        <v>0</v>
      </c>
      <c r="R31" s="15">
        <f t="shared" ca="1" si="15"/>
        <v>1</v>
      </c>
      <c r="S31" s="15">
        <f t="shared" ca="1" si="15"/>
        <v>1</v>
      </c>
      <c r="T31" s="15">
        <f t="shared" ca="1" si="15"/>
        <v>0</v>
      </c>
      <c r="U31" s="15">
        <f t="shared" ca="1" si="15"/>
        <v>2</v>
      </c>
      <c r="V31" s="15">
        <f t="shared" ca="1" si="15"/>
        <v>0</v>
      </c>
      <c r="W31" s="15">
        <f t="shared" ca="1" si="15"/>
        <v>1</v>
      </c>
      <c r="X31" s="15">
        <f t="shared" ca="1" si="15"/>
        <v>1</v>
      </c>
      <c r="Y31" s="15">
        <f t="shared" ca="1" si="15"/>
        <v>1</v>
      </c>
      <c r="Z31" s="15">
        <f t="shared" ca="1" si="15"/>
        <v>1</v>
      </c>
      <c r="AA31" s="15">
        <f t="shared" ca="1" si="15"/>
        <v>0</v>
      </c>
      <c r="AB31" s="15">
        <f t="shared" ca="1" si="15"/>
        <v>1</v>
      </c>
      <c r="AC31" s="15">
        <f t="shared" ca="1" si="15"/>
        <v>2</v>
      </c>
      <c r="AD31" s="15">
        <f t="shared" ca="1" si="15"/>
        <v>1</v>
      </c>
      <c r="AE31" s="15">
        <f t="shared" ca="1" si="15"/>
        <v>1</v>
      </c>
      <c r="AF31" s="15">
        <f t="shared" ca="1" si="15"/>
        <v>1</v>
      </c>
      <c r="AG31" s="15">
        <f t="shared" ca="1" si="15"/>
        <v>1</v>
      </c>
      <c r="AH31" s="15">
        <f t="shared" ca="1" si="15"/>
        <v>1</v>
      </c>
      <c r="AI31" s="15">
        <f t="shared" ca="1" si="15"/>
        <v>2</v>
      </c>
      <c r="AJ31" s="15">
        <f t="shared" ca="1" si="15"/>
        <v>1</v>
      </c>
      <c r="AK31" s="15">
        <f t="shared" ca="1" si="15"/>
        <v>1</v>
      </c>
      <c r="AL31" s="15">
        <f t="shared" ca="1" si="15"/>
        <v>1</v>
      </c>
    </row>
    <row r="32" spans="1:38" x14ac:dyDescent="0.25">
      <c r="A32" s="3" t="s">
        <v>320</v>
      </c>
      <c r="C32" s="41">
        <f ca="1">IF(C6&gt;Assumptions!$B$116,OFFSET(C31,0,-Assumptions!$B$116),0)</f>
        <v>0</v>
      </c>
      <c r="D32" s="41">
        <f ca="1">IF(D6&gt;Assumptions!$B$116,OFFSET(D31,0,-Assumptions!$B$116),0)</f>
        <v>0</v>
      </c>
      <c r="E32" s="41">
        <f ca="1">IF(E6&gt;Assumptions!$B$116,OFFSET(E31,0,-Assumptions!$B$116),0)</f>
        <v>0</v>
      </c>
      <c r="F32" s="41">
        <f ca="1">IF(F6&gt;Assumptions!$B$116,OFFSET(F31,0,-Assumptions!$B$116),0)</f>
        <v>0</v>
      </c>
      <c r="G32" s="41">
        <f ca="1">IF(G6&gt;Assumptions!$B$116,OFFSET(G31,0,-Assumptions!$B$116),0)</f>
        <v>0</v>
      </c>
      <c r="H32" s="41">
        <f ca="1">IF(H6&gt;Assumptions!$B$116,OFFSET(H31,0,-Assumptions!$B$116),0)</f>
        <v>0</v>
      </c>
      <c r="I32" s="41">
        <f ca="1">IF(I6&gt;Assumptions!$B$116,OFFSET(I31,0,-Assumptions!$B$116),0)</f>
        <v>0</v>
      </c>
      <c r="J32" s="41">
        <f ca="1">IF(J6&gt;Assumptions!$B$116,OFFSET(J31,0,-Assumptions!$B$116),0)</f>
        <v>0</v>
      </c>
      <c r="K32" s="41">
        <f ca="1">IF(K6&gt;Assumptions!$B$116,OFFSET(K31,0,-Assumptions!$B$116),0)</f>
        <v>2</v>
      </c>
      <c r="L32" s="41">
        <f ca="1">IF(L6&gt;Assumptions!$B$116,OFFSET(L31,0,-Assumptions!$B$116),0)</f>
        <v>1</v>
      </c>
      <c r="M32" s="41">
        <f ca="1">IF(M6&gt;Assumptions!$B$116,OFFSET(M31,0,-Assumptions!$B$116),0)</f>
        <v>0</v>
      </c>
      <c r="N32" s="41">
        <f ca="1">IF(N6&gt;Assumptions!$B$116,OFFSET(N31,0,-Assumptions!$B$116),0)</f>
        <v>0</v>
      </c>
      <c r="O32" s="41">
        <f ca="1">IF(O6&gt;Assumptions!$B$116,OFFSET(O31,0,-Assumptions!$B$116),0)</f>
        <v>0</v>
      </c>
      <c r="P32" s="41">
        <f ca="1">IF(P6&gt;Assumptions!$B$116,OFFSET(P31,0,-Assumptions!$B$116),0)</f>
        <v>0</v>
      </c>
      <c r="Q32" s="41">
        <f ca="1">IF(Q6&gt;Assumptions!$B$116,OFFSET(Q31,0,-Assumptions!$B$116),0)</f>
        <v>1</v>
      </c>
      <c r="R32" s="41">
        <f ca="1">IF(R6&gt;Assumptions!$B$116,OFFSET(R31,0,-Assumptions!$B$116),0)</f>
        <v>0</v>
      </c>
      <c r="S32" s="41">
        <f ca="1">IF(S6&gt;Assumptions!$B$116,OFFSET(S31,0,-Assumptions!$B$116),0)</f>
        <v>0</v>
      </c>
      <c r="T32" s="41">
        <f ca="1">IF(T6&gt;Assumptions!$B$116,OFFSET(T31,0,-Assumptions!$B$116),0)</f>
        <v>1</v>
      </c>
      <c r="U32" s="41">
        <f ca="1">IF(U6&gt;Assumptions!$B$116,OFFSET(U31,0,-Assumptions!$B$116),0)</f>
        <v>0</v>
      </c>
      <c r="V32" s="41">
        <f ca="1">IF(V6&gt;Assumptions!$B$116,OFFSET(V31,0,-Assumptions!$B$116),0)</f>
        <v>0</v>
      </c>
      <c r="W32" s="41">
        <f ca="1">IF(W6&gt;Assumptions!$B$116,OFFSET(W31,0,-Assumptions!$B$116),0)</f>
        <v>0</v>
      </c>
      <c r="X32" s="41">
        <f ca="1">IF(X6&gt;Assumptions!$B$116,OFFSET(X31,0,-Assumptions!$B$116),0)</f>
        <v>1</v>
      </c>
      <c r="Y32" s="41">
        <f ca="1">IF(Y6&gt;Assumptions!$B$116,OFFSET(Y31,0,-Assumptions!$B$116),0)</f>
        <v>1</v>
      </c>
      <c r="Z32" s="41">
        <f ca="1">IF(Z6&gt;Assumptions!$B$116,OFFSET(Z31,0,-Assumptions!$B$116),0)</f>
        <v>0</v>
      </c>
      <c r="AA32" s="41">
        <f ca="1">IF(AA6&gt;Assumptions!$B$116,OFFSET(AA31,0,-Assumptions!$B$116),0)</f>
        <v>2</v>
      </c>
      <c r="AB32" s="41">
        <f ca="1">IF(AB6&gt;Assumptions!$B$116,OFFSET(AB31,0,-Assumptions!$B$116),0)</f>
        <v>0</v>
      </c>
      <c r="AC32" s="41">
        <f ca="1">IF(AC6&gt;Assumptions!$B$116,OFFSET(AC31,0,-Assumptions!$B$116),0)</f>
        <v>1</v>
      </c>
      <c r="AD32" s="41">
        <f ca="1">IF(AD6&gt;Assumptions!$B$116,OFFSET(AD31,0,-Assumptions!$B$116),0)</f>
        <v>1</v>
      </c>
      <c r="AE32" s="41">
        <f ca="1">IF(AE6&gt;Assumptions!$B$116,OFFSET(AE31,0,-Assumptions!$B$116),0)</f>
        <v>1</v>
      </c>
      <c r="AF32" s="41">
        <f ca="1">IF(AF6&gt;Assumptions!$B$116,OFFSET(AF31,0,-Assumptions!$B$116),0)</f>
        <v>1</v>
      </c>
      <c r="AG32" s="41">
        <f ca="1">IF(AG6&gt;Assumptions!$B$116,OFFSET(AG31,0,-Assumptions!$B$116),0)</f>
        <v>0</v>
      </c>
      <c r="AH32" s="41">
        <f ca="1">IF(AH6&gt;Assumptions!$B$116,OFFSET(AH31,0,-Assumptions!$B$116),0)</f>
        <v>1</v>
      </c>
      <c r="AI32" s="41">
        <f ca="1">IF(AI6&gt;Assumptions!$B$116,OFFSET(AI31,0,-Assumptions!$B$116),0)</f>
        <v>2</v>
      </c>
      <c r="AJ32" s="41">
        <f ca="1">IF(AJ6&gt;Assumptions!$B$116,OFFSET(AJ31,0,-Assumptions!$B$116),0)</f>
        <v>1</v>
      </c>
      <c r="AK32" s="41">
        <f ca="1">IF(AK6&gt;Assumptions!$B$116,OFFSET(AK31,0,-Assumptions!$B$116),0)</f>
        <v>1</v>
      </c>
      <c r="AL32" s="41">
        <f ca="1">IF(AL6&gt;Assumptions!$B$116,OFFSET(AL31,0,-Assumptions!$B$116),0)</f>
        <v>1</v>
      </c>
    </row>
    <row r="34" spans="1:38" x14ac:dyDescent="0.25">
      <c r="A34" s="5" t="s">
        <v>321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</row>
    <row r="35" spans="1:38" hidden="1" outlineLevel="1" x14ac:dyDescent="0.25">
      <c r="A35" s="39" t="s">
        <v>322</v>
      </c>
      <c r="C35" s="40">
        <f>0*Assumptions!$B$40</f>
        <v>0</v>
      </c>
      <c r="D35" s="40">
        <f ca="1">C38*Assumptions!$B$40</f>
        <v>0</v>
      </c>
      <c r="E35" s="40">
        <f ca="1">D38*Assumptions!$B$40</f>
        <v>8.7416109546967213E-3</v>
      </c>
      <c r="F35" s="40">
        <f ca="1">E38*Assumptions!$B$40</f>
        <v>1.7483221909393443E-2</v>
      </c>
      <c r="G35" s="40">
        <f ca="1">F38*Assumptions!$B$40</f>
        <v>1.7483221909393443E-2</v>
      </c>
      <c r="H35" s="40">
        <f ca="1">G38*Assumptions!$B$40</f>
        <v>2.6224832864090164E-2</v>
      </c>
      <c r="I35" s="40">
        <f ca="1">H38*Assumptions!$B$40</f>
        <v>2.6224832864090164E-2</v>
      </c>
      <c r="J35" s="40">
        <f ca="1">I38*Assumptions!$B$40</f>
        <v>3.4966443818786885E-2</v>
      </c>
      <c r="K35" s="40">
        <f ca="1">J38*Assumptions!$B$40</f>
        <v>4.3708054773483607E-2</v>
      </c>
      <c r="L35" s="40">
        <f ca="1">K38*Assumptions!$B$40</f>
        <v>4.3708054773483607E-2</v>
      </c>
      <c r="M35" s="40">
        <f ca="1">L38*Assumptions!$B$40</f>
        <v>4.3708054773483607E-2</v>
      </c>
      <c r="N35" s="40">
        <f ca="1">M38*Assumptions!$B$40</f>
        <v>4.3708054773483607E-2</v>
      </c>
      <c r="O35" s="40">
        <f ca="1">N38*Assumptions!$B$40</f>
        <v>5.2449665728180328E-2</v>
      </c>
      <c r="P35" s="40">
        <f ca="1">O38*Assumptions!$B$40</f>
        <v>6.1191276682877049E-2</v>
      </c>
      <c r="Q35" s="40">
        <f ca="1">P38*Assumptions!$B$40</f>
        <v>6.9932887637573771E-2</v>
      </c>
      <c r="R35" s="40">
        <f ca="1">Q38*Assumptions!$B$40</f>
        <v>7.8674498592270492E-2</v>
      </c>
      <c r="S35" s="40">
        <f ca="1">R38*Assumptions!$B$40</f>
        <v>7.8674498592270492E-2</v>
      </c>
      <c r="T35" s="40">
        <f ca="1">S38*Assumptions!$B$40</f>
        <v>8.7416109546967213E-2</v>
      </c>
      <c r="U35" s="40">
        <f ca="1">T38*Assumptions!$B$40</f>
        <v>0.10489933145636066</v>
      </c>
      <c r="V35" s="40">
        <f ca="1">U38*Assumptions!$B$40</f>
        <v>0.11364094241105738</v>
      </c>
      <c r="W35" s="40">
        <f ca="1">V38*Assumptions!$B$40</f>
        <v>0.13112416432045082</v>
      </c>
      <c r="X35" s="40">
        <f ca="1">W38*Assumptions!$B$40</f>
        <v>0.13986577527514754</v>
      </c>
      <c r="Y35" s="40">
        <f ca="1">X38*Assumptions!$B$40</f>
        <v>0.14860738622984426</v>
      </c>
      <c r="Z35" s="40">
        <f ca="1">Y38*Assumptions!$B$40</f>
        <v>0.16609060813923771</v>
      </c>
      <c r="AA35" s="40">
        <f ca="1">Z38*Assumptions!$B$40</f>
        <v>0.16609060813923771</v>
      </c>
      <c r="AB35" s="40">
        <f ca="1">AA38*Assumptions!$B$40</f>
        <v>0.18357383004863115</v>
      </c>
      <c r="AC35" s="40">
        <f ca="1">AB38*Assumptions!$B$40</f>
        <v>0.19231544100332787</v>
      </c>
      <c r="AD35" s="40">
        <f ca="1">AC38*Assumptions!$B$40</f>
        <v>0.20979866291272131</v>
      </c>
      <c r="AE35" s="40">
        <f ca="1">AD38*Assumptions!$B$40</f>
        <v>0.22728188482211475</v>
      </c>
      <c r="AF35" s="40">
        <f ca="1">AE38*Assumptions!$B$40</f>
        <v>0.23602349577681148</v>
      </c>
      <c r="AG35" s="40">
        <f ca="1">AF38*Assumptions!$B$40</f>
        <v>0.25350671768620492</v>
      </c>
      <c r="AH35" s="40">
        <f ca="1">AG38*Assumptions!$B$40</f>
        <v>0.26224832864090164</v>
      </c>
      <c r="AI35" s="40">
        <f ca="1">AH38*Assumptions!$B$40</f>
        <v>0.2884731615049918</v>
      </c>
      <c r="AJ35" s="40">
        <f ca="1">AI38*Assumptions!$B$40</f>
        <v>0.29721477245968853</v>
      </c>
      <c r="AK35" s="40">
        <f ca="1">AJ38*Assumptions!$B$40</f>
        <v>0.31469799436908197</v>
      </c>
      <c r="AL35" s="40">
        <f ca="1">AK38*Assumptions!$B$40</f>
        <v>0.33218121627847541</v>
      </c>
    </row>
    <row r="36" spans="1:38" hidden="1" outlineLevel="1" x14ac:dyDescent="0.25">
      <c r="A36" s="39" t="s">
        <v>323</v>
      </c>
      <c r="C36" s="40">
        <f>0+C35</f>
        <v>0</v>
      </c>
      <c r="D36" s="40">
        <f t="shared" ref="D36:AL36" ca="1" si="16">C36+D35</f>
        <v>0</v>
      </c>
      <c r="E36" s="40">
        <f t="shared" ca="1" si="16"/>
        <v>8.7416109546967213E-3</v>
      </c>
      <c r="F36" s="40">
        <f t="shared" ca="1" si="16"/>
        <v>2.6224832864090164E-2</v>
      </c>
      <c r="G36" s="40">
        <f t="shared" ca="1" si="16"/>
        <v>4.3708054773483607E-2</v>
      </c>
      <c r="H36" s="40">
        <f t="shared" ca="1" si="16"/>
        <v>6.9932887637573771E-2</v>
      </c>
      <c r="I36" s="40">
        <f t="shared" ca="1" si="16"/>
        <v>9.6157720501663935E-2</v>
      </c>
      <c r="J36" s="40">
        <f t="shared" ca="1" si="16"/>
        <v>0.13112416432045082</v>
      </c>
      <c r="K36" s="40">
        <f t="shared" ca="1" si="16"/>
        <v>0.17483221909393443</v>
      </c>
      <c r="L36" s="40">
        <f t="shared" ca="1" si="16"/>
        <v>0.21854027386741803</v>
      </c>
      <c r="M36" s="40">
        <f t="shared" ca="1" si="16"/>
        <v>0.26224832864090164</v>
      </c>
      <c r="N36" s="40">
        <f t="shared" ca="1" si="16"/>
        <v>0.30595638341438525</v>
      </c>
      <c r="O36" s="40">
        <f t="shared" ca="1" si="16"/>
        <v>0.35840604914256557</v>
      </c>
      <c r="P36" s="40">
        <f t="shared" ca="1" si="16"/>
        <v>0.41959732582544262</v>
      </c>
      <c r="Q36" s="40">
        <f t="shared" ca="1" si="16"/>
        <v>0.48953021346301639</v>
      </c>
      <c r="R36" s="40">
        <f t="shared" ca="1" si="16"/>
        <v>0.56820471205528689</v>
      </c>
      <c r="S36" s="40">
        <f t="shared" ca="1" si="16"/>
        <v>0.64687921064755738</v>
      </c>
      <c r="T36" s="40">
        <f t="shared" ca="1" si="16"/>
        <v>0.73429532019452459</v>
      </c>
      <c r="U36" s="40">
        <f t="shared" ca="1" si="16"/>
        <v>0.83919465165088525</v>
      </c>
      <c r="V36" s="40">
        <f t="shared" ca="1" si="16"/>
        <v>0.95283559406194263</v>
      </c>
      <c r="W36" s="40">
        <f t="shared" ca="1" si="16"/>
        <v>1.0839597583823934</v>
      </c>
      <c r="X36" s="40">
        <f t="shared" ca="1" si="16"/>
        <v>1.223825533657541</v>
      </c>
      <c r="Y36" s="40">
        <f t="shared" ca="1" si="16"/>
        <v>1.3724329198873852</v>
      </c>
      <c r="Z36" s="40">
        <f t="shared" ca="1" si="16"/>
        <v>1.538523528026623</v>
      </c>
      <c r="AA36" s="40">
        <f t="shared" ca="1" si="16"/>
        <v>1.7046141361658607</v>
      </c>
      <c r="AB36" s="40">
        <f t="shared" ca="1" si="16"/>
        <v>1.8881879662144918</v>
      </c>
      <c r="AC36" s="40">
        <f t="shared" ca="1" si="16"/>
        <v>2.0805034072178197</v>
      </c>
      <c r="AD36" s="40">
        <f t="shared" ca="1" si="16"/>
        <v>2.290302070130541</v>
      </c>
      <c r="AE36" s="40">
        <f t="shared" ca="1" si="16"/>
        <v>2.5175839549526557</v>
      </c>
      <c r="AF36" s="40">
        <f t="shared" ca="1" si="16"/>
        <v>2.7536074507294672</v>
      </c>
      <c r="AG36" s="40">
        <f t="shared" ca="1" si="16"/>
        <v>3.0071141684156721</v>
      </c>
      <c r="AH36" s="40">
        <f t="shared" ca="1" si="16"/>
        <v>3.2693624970565738</v>
      </c>
      <c r="AI36" s="40">
        <f t="shared" ca="1" si="16"/>
        <v>3.5578356585615656</v>
      </c>
      <c r="AJ36" s="40">
        <f t="shared" ca="1" si="16"/>
        <v>3.8550504310212541</v>
      </c>
      <c r="AK36" s="40">
        <f t="shared" ca="1" si="16"/>
        <v>4.1697484253903365</v>
      </c>
      <c r="AL36" s="40">
        <f t="shared" ca="1" si="16"/>
        <v>4.5019296416688119</v>
      </c>
    </row>
    <row r="37" spans="1:38" x14ac:dyDescent="0.25">
      <c r="A37" s="2" t="s">
        <v>324</v>
      </c>
      <c r="C37" s="15">
        <f>ROUND(C36,0)-ROUND(0,0)</f>
        <v>0</v>
      </c>
      <c r="D37" s="15">
        <f t="shared" ref="D37:AL37" ca="1" si="17">ROUND(D36,0)-ROUND(C36,0)</f>
        <v>0</v>
      </c>
      <c r="E37" s="15">
        <f t="shared" ca="1" si="17"/>
        <v>0</v>
      </c>
      <c r="F37" s="15">
        <f t="shared" ca="1" si="17"/>
        <v>0</v>
      </c>
      <c r="G37" s="15">
        <f t="shared" ca="1" si="17"/>
        <v>0</v>
      </c>
      <c r="H37" s="15">
        <f t="shared" ca="1" si="17"/>
        <v>0</v>
      </c>
      <c r="I37" s="15">
        <f t="shared" ca="1" si="17"/>
        <v>0</v>
      </c>
      <c r="J37" s="15">
        <f t="shared" ca="1" si="17"/>
        <v>0</v>
      </c>
      <c r="K37" s="15">
        <f t="shared" ca="1" si="17"/>
        <v>0</v>
      </c>
      <c r="L37" s="15">
        <f t="shared" ca="1" si="17"/>
        <v>0</v>
      </c>
      <c r="M37" s="15">
        <f t="shared" ca="1" si="17"/>
        <v>0</v>
      </c>
      <c r="N37" s="15">
        <f t="shared" ca="1" si="17"/>
        <v>0</v>
      </c>
      <c r="O37" s="15">
        <f t="shared" ca="1" si="17"/>
        <v>0</v>
      </c>
      <c r="P37" s="15">
        <f t="shared" ca="1" si="17"/>
        <v>0</v>
      </c>
      <c r="Q37" s="15">
        <f t="shared" ca="1" si="17"/>
        <v>0</v>
      </c>
      <c r="R37" s="15">
        <f t="shared" ca="1" si="17"/>
        <v>1</v>
      </c>
      <c r="S37" s="15">
        <f t="shared" ca="1" si="17"/>
        <v>0</v>
      </c>
      <c r="T37" s="15">
        <f t="shared" ca="1" si="17"/>
        <v>0</v>
      </c>
      <c r="U37" s="15">
        <f t="shared" ca="1" si="17"/>
        <v>0</v>
      </c>
      <c r="V37" s="15">
        <f t="shared" ca="1" si="17"/>
        <v>0</v>
      </c>
      <c r="W37" s="15">
        <f t="shared" ca="1" si="17"/>
        <v>0</v>
      </c>
      <c r="X37" s="15">
        <f t="shared" ca="1" si="17"/>
        <v>0</v>
      </c>
      <c r="Y37" s="15">
        <f t="shared" ca="1" si="17"/>
        <v>0</v>
      </c>
      <c r="Z37" s="15">
        <f t="shared" ca="1" si="17"/>
        <v>1</v>
      </c>
      <c r="AA37" s="15">
        <f t="shared" ca="1" si="17"/>
        <v>0</v>
      </c>
      <c r="AB37" s="15">
        <f t="shared" ca="1" si="17"/>
        <v>0</v>
      </c>
      <c r="AC37" s="15">
        <f t="shared" ca="1" si="17"/>
        <v>0</v>
      </c>
      <c r="AD37" s="15">
        <f t="shared" ca="1" si="17"/>
        <v>0</v>
      </c>
      <c r="AE37" s="15">
        <f t="shared" ca="1" si="17"/>
        <v>1</v>
      </c>
      <c r="AF37" s="15">
        <f t="shared" ca="1" si="17"/>
        <v>0</v>
      </c>
      <c r="AG37" s="15">
        <f t="shared" ca="1" si="17"/>
        <v>0</v>
      </c>
      <c r="AH37" s="15">
        <f t="shared" ca="1" si="17"/>
        <v>0</v>
      </c>
      <c r="AI37" s="15">
        <f t="shared" ca="1" si="17"/>
        <v>1</v>
      </c>
      <c r="AJ37" s="15">
        <f t="shared" ca="1" si="17"/>
        <v>0</v>
      </c>
      <c r="AK37" s="15">
        <f t="shared" ca="1" si="17"/>
        <v>0</v>
      </c>
      <c r="AL37" s="15">
        <f t="shared" ca="1" si="17"/>
        <v>1</v>
      </c>
    </row>
    <row r="38" spans="1:38" x14ac:dyDescent="0.25">
      <c r="A38" s="3" t="s">
        <v>29</v>
      </c>
      <c r="C38" s="41">
        <f ca="1">0-C37+C30</f>
        <v>0</v>
      </c>
      <c r="D38" s="41">
        <f t="shared" ref="D38:AL38" ca="1" si="18">C38-D37+D30</f>
        <v>1</v>
      </c>
      <c r="E38" s="41">
        <f t="shared" ca="1" si="18"/>
        <v>2</v>
      </c>
      <c r="F38" s="41">
        <f t="shared" ca="1" si="18"/>
        <v>2</v>
      </c>
      <c r="G38" s="41">
        <f t="shared" ca="1" si="18"/>
        <v>3</v>
      </c>
      <c r="H38" s="41">
        <f t="shared" ca="1" si="18"/>
        <v>3</v>
      </c>
      <c r="I38" s="41">
        <f t="shared" ca="1" si="18"/>
        <v>4</v>
      </c>
      <c r="J38" s="41">
        <f t="shared" ca="1" si="18"/>
        <v>5</v>
      </c>
      <c r="K38" s="41">
        <f t="shared" ca="1" si="18"/>
        <v>5</v>
      </c>
      <c r="L38" s="41">
        <f t="shared" ca="1" si="18"/>
        <v>5</v>
      </c>
      <c r="M38" s="41">
        <f t="shared" ca="1" si="18"/>
        <v>5</v>
      </c>
      <c r="N38" s="41">
        <f t="shared" ca="1" si="18"/>
        <v>6</v>
      </c>
      <c r="O38" s="41">
        <f t="shared" ca="1" si="18"/>
        <v>7</v>
      </c>
      <c r="P38" s="41">
        <f t="shared" ca="1" si="18"/>
        <v>8</v>
      </c>
      <c r="Q38" s="41">
        <f t="shared" ca="1" si="18"/>
        <v>9</v>
      </c>
      <c r="R38" s="41">
        <f t="shared" ca="1" si="18"/>
        <v>9</v>
      </c>
      <c r="S38" s="41">
        <f t="shared" ca="1" si="18"/>
        <v>10</v>
      </c>
      <c r="T38" s="41">
        <f t="shared" ca="1" si="18"/>
        <v>12</v>
      </c>
      <c r="U38" s="41">
        <f t="shared" ca="1" si="18"/>
        <v>13</v>
      </c>
      <c r="V38" s="41">
        <f t="shared" ca="1" si="18"/>
        <v>15</v>
      </c>
      <c r="W38" s="41">
        <f t="shared" ca="1" si="18"/>
        <v>16</v>
      </c>
      <c r="X38" s="41">
        <f t="shared" ca="1" si="18"/>
        <v>17</v>
      </c>
      <c r="Y38" s="41">
        <f t="shared" ca="1" si="18"/>
        <v>19</v>
      </c>
      <c r="Z38" s="41">
        <f t="shared" ca="1" si="18"/>
        <v>19</v>
      </c>
      <c r="AA38" s="41">
        <f t="shared" ca="1" si="18"/>
        <v>21</v>
      </c>
      <c r="AB38" s="41">
        <f t="shared" ca="1" si="18"/>
        <v>22</v>
      </c>
      <c r="AC38" s="41">
        <f t="shared" ca="1" si="18"/>
        <v>24</v>
      </c>
      <c r="AD38" s="41">
        <f t="shared" ca="1" si="18"/>
        <v>26</v>
      </c>
      <c r="AE38" s="41">
        <f t="shared" ca="1" si="18"/>
        <v>27</v>
      </c>
      <c r="AF38" s="41">
        <f t="shared" ca="1" si="18"/>
        <v>29</v>
      </c>
      <c r="AG38" s="41">
        <f t="shared" ca="1" si="18"/>
        <v>30</v>
      </c>
      <c r="AH38" s="41">
        <f t="shared" ca="1" si="18"/>
        <v>33</v>
      </c>
      <c r="AI38" s="41">
        <f t="shared" ca="1" si="18"/>
        <v>34</v>
      </c>
      <c r="AJ38" s="41">
        <f t="shared" ca="1" si="18"/>
        <v>36</v>
      </c>
      <c r="AK38" s="41">
        <f t="shared" ca="1" si="18"/>
        <v>38</v>
      </c>
      <c r="AL38" s="41">
        <f t="shared" ca="1" si="18"/>
        <v>39</v>
      </c>
    </row>
    <row r="39" spans="1:38" hidden="1" outlineLevel="1" x14ac:dyDescent="0.25">
      <c r="A39" s="39" t="s">
        <v>325</v>
      </c>
      <c r="C39" s="40">
        <f>0*Assumptions!$B$41</f>
        <v>0</v>
      </c>
      <c r="D39" s="40">
        <f ca="1">C42*Assumptions!$B$41</f>
        <v>0</v>
      </c>
      <c r="E39" s="40">
        <f ca="1">D42*Assumptions!$B$41</f>
        <v>0</v>
      </c>
      <c r="F39" s="40">
        <f ca="1">E42*Assumptions!$B$41</f>
        <v>0</v>
      </c>
      <c r="G39" s="40">
        <f ca="1">F42*Assumptions!$B$41</f>
        <v>0</v>
      </c>
      <c r="H39" s="40">
        <f ca="1">G42*Assumptions!$B$41</f>
        <v>0</v>
      </c>
      <c r="I39" s="40">
        <f ca="1">H42*Assumptions!$B$41</f>
        <v>0</v>
      </c>
      <c r="J39" s="40">
        <f ca="1">I42*Assumptions!$B$41</f>
        <v>0</v>
      </c>
      <c r="K39" s="40">
        <f ca="1">J42*Assumptions!$B$41</f>
        <v>0</v>
      </c>
      <c r="L39" s="40">
        <f ca="1">K42*Assumptions!$B$41</f>
        <v>8.5306375551212899E-3</v>
      </c>
      <c r="M39" s="40">
        <f ca="1">L42*Assumptions!$B$41</f>
        <v>1.2795956332681935E-2</v>
      </c>
      <c r="N39" s="40">
        <f ca="1">M42*Assumptions!$B$41</f>
        <v>1.2795956332681935E-2</v>
      </c>
      <c r="O39" s="40">
        <f ca="1">N42*Assumptions!$B$41</f>
        <v>1.2795956332681935E-2</v>
      </c>
      <c r="P39" s="40">
        <f ca="1">O42*Assumptions!$B$41</f>
        <v>1.2795956332681935E-2</v>
      </c>
      <c r="Q39" s="40">
        <f ca="1">P42*Assumptions!$B$41</f>
        <v>1.2795956332681935E-2</v>
      </c>
      <c r="R39" s="40">
        <f ca="1">Q42*Assumptions!$B$41</f>
        <v>1.706127511024258E-2</v>
      </c>
      <c r="S39" s="40">
        <f ca="1">R42*Assumptions!$B$41</f>
        <v>1.706127511024258E-2</v>
      </c>
      <c r="T39" s="40">
        <f ca="1">S42*Assumptions!$B$41</f>
        <v>1.706127511024258E-2</v>
      </c>
      <c r="U39" s="40">
        <f ca="1">T42*Assumptions!$B$41</f>
        <v>2.1326593887803225E-2</v>
      </c>
      <c r="V39" s="40">
        <f ca="1">U42*Assumptions!$B$41</f>
        <v>2.1326593887803225E-2</v>
      </c>
      <c r="W39" s="40">
        <f ca="1">V42*Assumptions!$B$41</f>
        <v>2.1326593887803225E-2</v>
      </c>
      <c r="X39" s="40">
        <f ca="1">W42*Assumptions!$B$41</f>
        <v>2.1326593887803225E-2</v>
      </c>
      <c r="Y39" s="40">
        <f ca="1">X42*Assumptions!$B$41</f>
        <v>2.559191266536387E-2</v>
      </c>
      <c r="Z39" s="40">
        <f ca="1">Y42*Assumptions!$B$41</f>
        <v>2.9857231442924514E-2</v>
      </c>
      <c r="AA39" s="40">
        <f ca="1">Z42*Assumptions!$B$41</f>
        <v>2.9857231442924514E-2</v>
      </c>
      <c r="AB39" s="40">
        <f ca="1">AA42*Assumptions!$B$41</f>
        <v>3.8387868998045804E-2</v>
      </c>
      <c r="AC39" s="40">
        <f ca="1">AB42*Assumptions!$B$41</f>
        <v>3.8387868998045804E-2</v>
      </c>
      <c r="AD39" s="40">
        <f ca="1">AC42*Assumptions!$B$41</f>
        <v>4.2653187775606449E-2</v>
      </c>
      <c r="AE39" s="40">
        <f ca="1">AD42*Assumptions!$B$41</f>
        <v>4.6918506553167094E-2</v>
      </c>
      <c r="AF39" s="40">
        <f ca="1">AE42*Assumptions!$B$41</f>
        <v>5.1183825330727739E-2</v>
      </c>
      <c r="AG39" s="40">
        <f ca="1">AF42*Assumptions!$B$41</f>
        <v>5.1183825330727739E-2</v>
      </c>
      <c r="AH39" s="40">
        <f ca="1">AG42*Assumptions!$B$41</f>
        <v>5.1183825330727739E-2</v>
      </c>
      <c r="AI39" s="40">
        <f ca="1">AH42*Assumptions!$B$41</f>
        <v>5.5449144108288384E-2</v>
      </c>
      <c r="AJ39" s="40">
        <f ca="1">AI42*Assumptions!$B$41</f>
        <v>6.3979781663409674E-2</v>
      </c>
      <c r="AK39" s="40">
        <f ca="1">AJ42*Assumptions!$B$41</f>
        <v>6.8245100440970319E-2</v>
      </c>
      <c r="AL39" s="40">
        <f ca="1">AK42*Assumptions!$B$41</f>
        <v>7.2510419218530964E-2</v>
      </c>
    </row>
    <row r="40" spans="1:38" hidden="1" outlineLevel="1" x14ac:dyDescent="0.25">
      <c r="A40" s="39" t="s">
        <v>326</v>
      </c>
      <c r="C40" s="40">
        <f>0+C39</f>
        <v>0</v>
      </c>
      <c r="D40" s="40">
        <f t="shared" ref="D40:AL40" ca="1" si="19">C40+D39</f>
        <v>0</v>
      </c>
      <c r="E40" s="40">
        <f t="shared" ca="1" si="19"/>
        <v>0</v>
      </c>
      <c r="F40" s="40">
        <f t="shared" ca="1" si="19"/>
        <v>0</v>
      </c>
      <c r="G40" s="40">
        <f t="shared" ca="1" si="19"/>
        <v>0</v>
      </c>
      <c r="H40" s="40">
        <f t="shared" ca="1" si="19"/>
        <v>0</v>
      </c>
      <c r="I40" s="40">
        <f t="shared" ca="1" si="19"/>
        <v>0</v>
      </c>
      <c r="J40" s="40">
        <f t="shared" ca="1" si="19"/>
        <v>0</v>
      </c>
      <c r="K40" s="40">
        <f t="shared" ca="1" si="19"/>
        <v>0</v>
      </c>
      <c r="L40" s="40">
        <f t="shared" ca="1" si="19"/>
        <v>8.5306375551212899E-3</v>
      </c>
      <c r="M40" s="40">
        <f t="shared" ca="1" si="19"/>
        <v>2.1326593887803225E-2</v>
      </c>
      <c r="N40" s="40">
        <f t="shared" ca="1" si="19"/>
        <v>3.4122550220485159E-2</v>
      </c>
      <c r="O40" s="40">
        <f t="shared" ca="1" si="19"/>
        <v>4.6918506553167094E-2</v>
      </c>
      <c r="P40" s="40">
        <f t="shared" ca="1" si="19"/>
        <v>5.9714462885849029E-2</v>
      </c>
      <c r="Q40" s="40">
        <f t="shared" ca="1" si="19"/>
        <v>7.2510419218530964E-2</v>
      </c>
      <c r="R40" s="40">
        <f t="shared" ca="1" si="19"/>
        <v>8.9571694328773543E-2</v>
      </c>
      <c r="S40" s="40">
        <f t="shared" ca="1" si="19"/>
        <v>0.10663296943901612</v>
      </c>
      <c r="T40" s="40">
        <f t="shared" ca="1" si="19"/>
        <v>0.1236942445492587</v>
      </c>
      <c r="U40" s="40">
        <f t="shared" ca="1" si="19"/>
        <v>0.14502083843706193</v>
      </c>
      <c r="V40" s="40">
        <f t="shared" ca="1" si="19"/>
        <v>0.16634743232486515</v>
      </c>
      <c r="W40" s="40">
        <f t="shared" ca="1" si="19"/>
        <v>0.18767402621266838</v>
      </c>
      <c r="X40" s="40">
        <f t="shared" ca="1" si="19"/>
        <v>0.2090006201004716</v>
      </c>
      <c r="Y40" s="40">
        <f t="shared" ca="1" si="19"/>
        <v>0.23459253276583547</v>
      </c>
      <c r="Z40" s="40">
        <f t="shared" ca="1" si="19"/>
        <v>0.26444976420875999</v>
      </c>
      <c r="AA40" s="40">
        <f t="shared" ca="1" si="19"/>
        <v>0.2943069956516845</v>
      </c>
      <c r="AB40" s="40">
        <f t="shared" ca="1" si="19"/>
        <v>0.3326948646497303</v>
      </c>
      <c r="AC40" s="40">
        <f t="shared" ca="1" si="19"/>
        <v>0.37108273364777611</v>
      </c>
      <c r="AD40" s="40">
        <f t="shared" ca="1" si="19"/>
        <v>0.41373592142338256</v>
      </c>
      <c r="AE40" s="40">
        <f t="shared" ca="1" si="19"/>
        <v>0.46065442797654965</v>
      </c>
      <c r="AF40" s="40">
        <f t="shared" ca="1" si="19"/>
        <v>0.51183825330727739</v>
      </c>
      <c r="AG40" s="40">
        <f t="shared" ca="1" si="19"/>
        <v>0.56302207863800513</v>
      </c>
      <c r="AH40" s="40">
        <f t="shared" ca="1" si="19"/>
        <v>0.61420590396873287</v>
      </c>
      <c r="AI40" s="40">
        <f t="shared" ca="1" si="19"/>
        <v>0.66965504807702125</v>
      </c>
      <c r="AJ40" s="40">
        <f t="shared" ca="1" si="19"/>
        <v>0.73363482974043093</v>
      </c>
      <c r="AK40" s="40">
        <f t="shared" ca="1" si="19"/>
        <v>0.80187993018140125</v>
      </c>
      <c r="AL40" s="40">
        <f t="shared" ca="1" si="19"/>
        <v>0.87439034939993221</v>
      </c>
    </row>
    <row r="41" spans="1:38" x14ac:dyDescent="0.25">
      <c r="A41" s="2" t="s">
        <v>327</v>
      </c>
      <c r="C41" s="15">
        <f>ROUND(C40,0)-ROUND(0,0)</f>
        <v>0</v>
      </c>
      <c r="D41" s="15">
        <f t="shared" ref="D41:AL41" ca="1" si="20">ROUND(D40,0)-ROUND(C40,0)</f>
        <v>0</v>
      </c>
      <c r="E41" s="15">
        <f t="shared" ca="1" si="20"/>
        <v>0</v>
      </c>
      <c r="F41" s="15">
        <f t="shared" ca="1" si="20"/>
        <v>0</v>
      </c>
      <c r="G41" s="15">
        <f t="shared" ca="1" si="20"/>
        <v>0</v>
      </c>
      <c r="H41" s="15">
        <f t="shared" ca="1" si="20"/>
        <v>0</v>
      </c>
      <c r="I41" s="15">
        <f t="shared" ca="1" si="20"/>
        <v>0</v>
      </c>
      <c r="J41" s="15">
        <f t="shared" ca="1" si="20"/>
        <v>0</v>
      </c>
      <c r="K41" s="15">
        <f t="shared" ca="1" si="20"/>
        <v>0</v>
      </c>
      <c r="L41" s="15">
        <f t="shared" ca="1" si="20"/>
        <v>0</v>
      </c>
      <c r="M41" s="15">
        <f t="shared" ca="1" si="20"/>
        <v>0</v>
      </c>
      <c r="N41" s="15">
        <f t="shared" ca="1" si="20"/>
        <v>0</v>
      </c>
      <c r="O41" s="15">
        <f t="shared" ca="1" si="20"/>
        <v>0</v>
      </c>
      <c r="P41" s="15">
        <f t="shared" ca="1" si="20"/>
        <v>0</v>
      </c>
      <c r="Q41" s="15">
        <f t="shared" ca="1" si="20"/>
        <v>0</v>
      </c>
      <c r="R41" s="15">
        <f t="shared" ca="1" si="20"/>
        <v>0</v>
      </c>
      <c r="S41" s="15">
        <f t="shared" ca="1" si="20"/>
        <v>0</v>
      </c>
      <c r="T41" s="15">
        <f t="shared" ca="1" si="20"/>
        <v>0</v>
      </c>
      <c r="U41" s="15">
        <f t="shared" ca="1" si="20"/>
        <v>0</v>
      </c>
      <c r="V41" s="15">
        <f t="shared" ca="1" si="20"/>
        <v>0</v>
      </c>
      <c r="W41" s="15">
        <f t="shared" ca="1" si="20"/>
        <v>0</v>
      </c>
      <c r="X41" s="15">
        <f t="shared" ca="1" si="20"/>
        <v>0</v>
      </c>
      <c r="Y41" s="15">
        <f t="shared" ca="1" si="20"/>
        <v>0</v>
      </c>
      <c r="Z41" s="15">
        <f t="shared" ca="1" si="20"/>
        <v>0</v>
      </c>
      <c r="AA41" s="15">
        <f t="shared" ca="1" si="20"/>
        <v>0</v>
      </c>
      <c r="AB41" s="15">
        <f t="shared" ca="1" si="20"/>
        <v>0</v>
      </c>
      <c r="AC41" s="15">
        <f t="shared" ca="1" si="20"/>
        <v>0</v>
      </c>
      <c r="AD41" s="15">
        <f t="shared" ca="1" si="20"/>
        <v>0</v>
      </c>
      <c r="AE41" s="15">
        <f t="shared" ca="1" si="20"/>
        <v>0</v>
      </c>
      <c r="AF41" s="15">
        <f t="shared" ca="1" si="20"/>
        <v>1</v>
      </c>
      <c r="AG41" s="15">
        <f t="shared" ca="1" si="20"/>
        <v>0</v>
      </c>
      <c r="AH41" s="15">
        <f t="shared" ca="1" si="20"/>
        <v>0</v>
      </c>
      <c r="AI41" s="15">
        <f t="shared" ca="1" si="20"/>
        <v>0</v>
      </c>
      <c r="AJ41" s="15">
        <f t="shared" ca="1" si="20"/>
        <v>0</v>
      </c>
      <c r="AK41" s="15">
        <f t="shared" ca="1" si="20"/>
        <v>0</v>
      </c>
      <c r="AL41" s="15">
        <f t="shared" ca="1" si="20"/>
        <v>0</v>
      </c>
    </row>
    <row r="42" spans="1:38" x14ac:dyDescent="0.25">
      <c r="A42" s="3" t="s">
        <v>30</v>
      </c>
      <c r="C42" s="41">
        <f ca="1">0-C41+C32</f>
        <v>0</v>
      </c>
      <c r="D42" s="41">
        <f t="shared" ref="D42:AL42" ca="1" si="21">C42-D41+D32</f>
        <v>0</v>
      </c>
      <c r="E42" s="41">
        <f t="shared" ca="1" si="21"/>
        <v>0</v>
      </c>
      <c r="F42" s="41">
        <f t="shared" ca="1" si="21"/>
        <v>0</v>
      </c>
      <c r="G42" s="41">
        <f t="shared" ca="1" si="21"/>
        <v>0</v>
      </c>
      <c r="H42" s="41">
        <f t="shared" ca="1" si="21"/>
        <v>0</v>
      </c>
      <c r="I42" s="41">
        <f t="shared" ca="1" si="21"/>
        <v>0</v>
      </c>
      <c r="J42" s="41">
        <f t="shared" ca="1" si="21"/>
        <v>0</v>
      </c>
      <c r="K42" s="41">
        <f t="shared" ca="1" si="21"/>
        <v>2</v>
      </c>
      <c r="L42" s="41">
        <f t="shared" ca="1" si="21"/>
        <v>3</v>
      </c>
      <c r="M42" s="41">
        <f t="shared" ca="1" si="21"/>
        <v>3</v>
      </c>
      <c r="N42" s="41">
        <f t="shared" ca="1" si="21"/>
        <v>3</v>
      </c>
      <c r="O42" s="41">
        <f t="shared" ca="1" si="21"/>
        <v>3</v>
      </c>
      <c r="P42" s="41">
        <f t="shared" ca="1" si="21"/>
        <v>3</v>
      </c>
      <c r="Q42" s="41">
        <f t="shared" ca="1" si="21"/>
        <v>4</v>
      </c>
      <c r="R42" s="41">
        <f t="shared" ca="1" si="21"/>
        <v>4</v>
      </c>
      <c r="S42" s="41">
        <f t="shared" ca="1" si="21"/>
        <v>4</v>
      </c>
      <c r="T42" s="41">
        <f t="shared" ca="1" si="21"/>
        <v>5</v>
      </c>
      <c r="U42" s="41">
        <f t="shared" ca="1" si="21"/>
        <v>5</v>
      </c>
      <c r="V42" s="41">
        <f t="shared" ca="1" si="21"/>
        <v>5</v>
      </c>
      <c r="W42" s="41">
        <f t="shared" ca="1" si="21"/>
        <v>5</v>
      </c>
      <c r="X42" s="41">
        <f t="shared" ca="1" si="21"/>
        <v>6</v>
      </c>
      <c r="Y42" s="41">
        <f t="shared" ca="1" si="21"/>
        <v>7</v>
      </c>
      <c r="Z42" s="41">
        <f t="shared" ca="1" si="21"/>
        <v>7</v>
      </c>
      <c r="AA42" s="41">
        <f t="shared" ca="1" si="21"/>
        <v>9</v>
      </c>
      <c r="AB42" s="41">
        <f t="shared" ca="1" si="21"/>
        <v>9</v>
      </c>
      <c r="AC42" s="41">
        <f t="shared" ca="1" si="21"/>
        <v>10</v>
      </c>
      <c r="AD42" s="41">
        <f t="shared" ca="1" si="21"/>
        <v>11</v>
      </c>
      <c r="AE42" s="41">
        <f t="shared" ca="1" si="21"/>
        <v>12</v>
      </c>
      <c r="AF42" s="41">
        <f t="shared" ca="1" si="21"/>
        <v>12</v>
      </c>
      <c r="AG42" s="41">
        <f t="shared" ca="1" si="21"/>
        <v>12</v>
      </c>
      <c r="AH42" s="41">
        <f t="shared" ca="1" si="21"/>
        <v>13</v>
      </c>
      <c r="AI42" s="41">
        <f t="shared" ca="1" si="21"/>
        <v>15</v>
      </c>
      <c r="AJ42" s="41">
        <f t="shared" ca="1" si="21"/>
        <v>16</v>
      </c>
      <c r="AK42" s="41">
        <f t="shared" ca="1" si="21"/>
        <v>17</v>
      </c>
      <c r="AL42" s="41">
        <f t="shared" ca="1" si="21"/>
        <v>18</v>
      </c>
    </row>
    <row r="43" spans="1:38" x14ac:dyDescent="0.25">
      <c r="A43" s="2" t="s">
        <v>328</v>
      </c>
      <c r="C43" s="38">
        <f>IF(C6&gt;=Assumptions!$B$33+Assumptions!$B$116,1,0)</f>
        <v>0</v>
      </c>
      <c r="D43" s="38">
        <f>IF(D6&gt;=Assumptions!$B$33+Assumptions!$B$116,1,0)</f>
        <v>0</v>
      </c>
      <c r="E43" s="38">
        <f>IF(E6&gt;=Assumptions!$B$33+Assumptions!$B$116,1,0)</f>
        <v>0</v>
      </c>
      <c r="F43" s="38">
        <f>IF(F6&gt;=Assumptions!$B$33+Assumptions!$B$116,1,0)</f>
        <v>0</v>
      </c>
      <c r="G43" s="38">
        <f>IF(G6&gt;=Assumptions!$B$33+Assumptions!$B$116,1,0)</f>
        <v>0</v>
      </c>
      <c r="H43" s="38">
        <f>IF(H6&gt;=Assumptions!$B$33+Assumptions!$B$116,1,0)</f>
        <v>0</v>
      </c>
      <c r="I43" s="38">
        <f>IF(I6&gt;=Assumptions!$B$33+Assumptions!$B$116,1,0)</f>
        <v>0</v>
      </c>
      <c r="J43" s="38">
        <f>IF(J6&gt;=Assumptions!$B$33+Assumptions!$B$116,1,0)</f>
        <v>0</v>
      </c>
      <c r="K43" s="38">
        <f>IF(K6&gt;=Assumptions!$B$33+Assumptions!$B$116,1,0)</f>
        <v>0</v>
      </c>
      <c r="L43" s="38">
        <f>IF(L6&gt;=Assumptions!$B$33+Assumptions!$B$116,1,0)</f>
        <v>0</v>
      </c>
      <c r="M43" s="38">
        <f>IF(M6&gt;=Assumptions!$B$33+Assumptions!$B$116,1,0)</f>
        <v>0</v>
      </c>
      <c r="N43" s="38">
        <f>IF(N6&gt;=Assumptions!$B$33+Assumptions!$B$116,1,0)</f>
        <v>0</v>
      </c>
      <c r="O43" s="38">
        <f>IF(O6&gt;=Assumptions!$B$33+Assumptions!$B$116,1,0)</f>
        <v>0</v>
      </c>
      <c r="P43" s="38">
        <f>IF(P6&gt;=Assumptions!$B$33+Assumptions!$B$116,1,0)</f>
        <v>0</v>
      </c>
      <c r="Q43" s="38">
        <f>IF(Q6&gt;=Assumptions!$B$33+Assumptions!$B$116,1,0)</f>
        <v>0</v>
      </c>
      <c r="R43" s="38">
        <f>IF(R6&gt;=Assumptions!$B$33+Assumptions!$B$116,1,0)</f>
        <v>0</v>
      </c>
      <c r="S43" s="38">
        <f>IF(S6&gt;=Assumptions!$B$33+Assumptions!$B$116,1,0)</f>
        <v>0</v>
      </c>
      <c r="T43" s="38">
        <f>IF(T6&gt;=Assumptions!$B$33+Assumptions!$B$116,1,0)</f>
        <v>0</v>
      </c>
      <c r="U43" s="38">
        <f>IF(U6&gt;=Assumptions!$B$33+Assumptions!$B$116,1,0)</f>
        <v>0</v>
      </c>
      <c r="V43" s="38">
        <f>IF(V6&gt;=Assumptions!$B$33+Assumptions!$B$116,1,0)</f>
        <v>0</v>
      </c>
      <c r="W43" s="38">
        <f>IF(W6&gt;=Assumptions!$B$33+Assumptions!$B$116,1,0)</f>
        <v>0</v>
      </c>
      <c r="X43" s="38">
        <f>IF(X6&gt;=Assumptions!$B$33+Assumptions!$B$116,1,0)</f>
        <v>0</v>
      </c>
      <c r="Y43" s="38">
        <f>IF(Y6&gt;=Assumptions!$B$33+Assumptions!$B$116,1,0)</f>
        <v>0</v>
      </c>
      <c r="Z43" s="38">
        <f>IF(Z6&gt;=Assumptions!$B$33+Assumptions!$B$116,1,0)</f>
        <v>1</v>
      </c>
      <c r="AA43" s="38">
        <f>IF(AA6&gt;=Assumptions!$B$33+Assumptions!$B$116,1,0)</f>
        <v>1</v>
      </c>
      <c r="AB43" s="38">
        <f>IF(AB6&gt;=Assumptions!$B$33+Assumptions!$B$116,1,0)</f>
        <v>1</v>
      </c>
      <c r="AC43" s="38">
        <f>IF(AC6&gt;=Assumptions!$B$33+Assumptions!$B$116,1,0)</f>
        <v>1</v>
      </c>
      <c r="AD43" s="38">
        <f>IF(AD6&gt;=Assumptions!$B$33+Assumptions!$B$116,1,0)</f>
        <v>1</v>
      </c>
      <c r="AE43" s="38">
        <f>IF(AE6&gt;=Assumptions!$B$33+Assumptions!$B$116,1,0)</f>
        <v>1</v>
      </c>
      <c r="AF43" s="38">
        <f>IF(AF6&gt;=Assumptions!$B$33+Assumptions!$B$116,1,0)</f>
        <v>1</v>
      </c>
      <c r="AG43" s="38">
        <f>IF(AG6&gt;=Assumptions!$B$33+Assumptions!$B$116,1,0)</f>
        <v>1</v>
      </c>
      <c r="AH43" s="38">
        <f>IF(AH6&gt;=Assumptions!$B$33+Assumptions!$B$116,1,0)</f>
        <v>1</v>
      </c>
      <c r="AI43" s="38">
        <f>IF(AI6&gt;=Assumptions!$B$33+Assumptions!$B$116,1,0)</f>
        <v>1</v>
      </c>
      <c r="AJ43" s="38">
        <f>IF(AJ6&gt;=Assumptions!$B$33+Assumptions!$B$116,1,0)</f>
        <v>1</v>
      </c>
      <c r="AK43" s="38">
        <f>IF(AK6&gt;=Assumptions!$B$33+Assumptions!$B$116,1,0)</f>
        <v>1</v>
      </c>
      <c r="AL43" s="38">
        <f>IF(AL6&gt;=Assumptions!$B$33+Assumptions!$B$116,1,0)</f>
        <v>1</v>
      </c>
    </row>
    <row r="44" spans="1:38" x14ac:dyDescent="0.25">
      <c r="A44" s="2" t="s">
        <v>329</v>
      </c>
      <c r="C44" s="38">
        <f>IF(C6&gt;=Assumptions!$B$35+Assumptions!$B$116,1,0)</f>
        <v>0</v>
      </c>
      <c r="D44" s="38">
        <f>IF(D6&gt;=Assumptions!$B$35+Assumptions!$B$116,1,0)</f>
        <v>0</v>
      </c>
      <c r="E44" s="38">
        <f>IF(E6&gt;=Assumptions!$B$35+Assumptions!$B$116,1,0)</f>
        <v>0</v>
      </c>
      <c r="F44" s="38">
        <f>IF(F6&gt;=Assumptions!$B$35+Assumptions!$B$116,1,0)</f>
        <v>0</v>
      </c>
      <c r="G44" s="38">
        <f>IF(G6&gt;=Assumptions!$B$35+Assumptions!$B$116,1,0)</f>
        <v>0</v>
      </c>
      <c r="H44" s="38">
        <f>IF(H6&gt;=Assumptions!$B$35+Assumptions!$B$116,1,0)</f>
        <v>0</v>
      </c>
      <c r="I44" s="38">
        <f>IF(I6&gt;=Assumptions!$B$35+Assumptions!$B$116,1,0)</f>
        <v>0</v>
      </c>
      <c r="J44" s="38">
        <f>IF(J6&gt;=Assumptions!$B$35+Assumptions!$B$116,1,0)</f>
        <v>0</v>
      </c>
      <c r="K44" s="38">
        <f>IF(K6&gt;=Assumptions!$B$35+Assumptions!$B$116,1,0)</f>
        <v>0</v>
      </c>
      <c r="L44" s="38">
        <f>IF(L6&gt;=Assumptions!$B$35+Assumptions!$B$116,1,0)</f>
        <v>0</v>
      </c>
      <c r="M44" s="38">
        <f>IF(M6&gt;=Assumptions!$B$35+Assumptions!$B$116,1,0)</f>
        <v>0</v>
      </c>
      <c r="N44" s="38">
        <f>IF(N6&gt;=Assumptions!$B$35+Assumptions!$B$116,1,0)</f>
        <v>0</v>
      </c>
      <c r="O44" s="38">
        <f>IF(O6&gt;=Assumptions!$B$35+Assumptions!$B$116,1,0)</f>
        <v>0</v>
      </c>
      <c r="P44" s="38">
        <f>IF(P6&gt;=Assumptions!$B$35+Assumptions!$B$116,1,0)</f>
        <v>0</v>
      </c>
      <c r="Q44" s="38">
        <f>IF(Q6&gt;=Assumptions!$B$35+Assumptions!$B$116,1,0)</f>
        <v>0</v>
      </c>
      <c r="R44" s="38">
        <f>IF(R6&gt;=Assumptions!$B$35+Assumptions!$B$116,1,0)</f>
        <v>0</v>
      </c>
      <c r="S44" s="38">
        <f>IF(S6&gt;=Assumptions!$B$35+Assumptions!$B$116,1,0)</f>
        <v>0</v>
      </c>
      <c r="T44" s="38">
        <f>IF(T6&gt;=Assumptions!$B$35+Assumptions!$B$116,1,0)</f>
        <v>0</v>
      </c>
      <c r="U44" s="38">
        <f>IF(U6&gt;=Assumptions!$B$35+Assumptions!$B$116,1,0)</f>
        <v>0</v>
      </c>
      <c r="V44" s="38">
        <f>IF(V6&gt;=Assumptions!$B$35+Assumptions!$B$116,1,0)</f>
        <v>0</v>
      </c>
      <c r="W44" s="38">
        <f>IF(W6&gt;=Assumptions!$B$35+Assumptions!$B$116,1,0)</f>
        <v>0</v>
      </c>
      <c r="X44" s="38">
        <f>IF(X6&gt;=Assumptions!$B$35+Assumptions!$B$116,1,0)</f>
        <v>0</v>
      </c>
      <c r="Y44" s="38">
        <f>IF(Y6&gt;=Assumptions!$B$35+Assumptions!$B$116,1,0)</f>
        <v>0</v>
      </c>
      <c r="Z44" s="38">
        <f>IF(Z6&gt;=Assumptions!$B$35+Assumptions!$B$116,1,0)</f>
        <v>0</v>
      </c>
      <c r="AA44" s="38">
        <f>IF(AA6&gt;=Assumptions!$B$35+Assumptions!$B$116,1,0)</f>
        <v>0</v>
      </c>
      <c r="AB44" s="38">
        <f>IF(AB6&gt;=Assumptions!$B$35+Assumptions!$B$116,1,0)</f>
        <v>0</v>
      </c>
      <c r="AC44" s="38">
        <f>IF(AC6&gt;=Assumptions!$B$35+Assumptions!$B$116,1,0)</f>
        <v>0</v>
      </c>
      <c r="AD44" s="38">
        <f>IF(AD6&gt;=Assumptions!$B$35+Assumptions!$B$116,1,0)</f>
        <v>0</v>
      </c>
      <c r="AE44" s="38">
        <f>IF(AE6&gt;=Assumptions!$B$35+Assumptions!$B$116,1,0)</f>
        <v>0</v>
      </c>
      <c r="AF44" s="38">
        <f>IF(AF6&gt;=Assumptions!$B$35+Assumptions!$B$116,1,0)</f>
        <v>0</v>
      </c>
      <c r="AG44" s="38">
        <f>IF(AG6&gt;=Assumptions!$B$35+Assumptions!$B$116,1,0)</f>
        <v>0</v>
      </c>
      <c r="AH44" s="38">
        <f>IF(AH6&gt;=Assumptions!$B$35+Assumptions!$B$116,1,0)</f>
        <v>0</v>
      </c>
      <c r="AI44" s="38">
        <f>IF(AI6&gt;=Assumptions!$B$35+Assumptions!$B$116,1,0)</f>
        <v>0</v>
      </c>
      <c r="AJ44" s="38">
        <f>IF(AJ6&gt;=Assumptions!$B$35+Assumptions!$B$116,1,0)</f>
        <v>0</v>
      </c>
      <c r="AK44" s="38">
        <f>IF(AK6&gt;=Assumptions!$B$35+Assumptions!$B$116,1,0)</f>
        <v>0</v>
      </c>
      <c r="AL44" s="38">
        <f>IF(AL6&gt;=Assumptions!$B$35+Assumptions!$B$116,1,0)</f>
        <v>1</v>
      </c>
    </row>
    <row r="45" spans="1:38" x14ac:dyDescent="0.25">
      <c r="A45" s="2" t="s">
        <v>330</v>
      </c>
      <c r="C45" s="38">
        <f>C43-0</f>
        <v>0</v>
      </c>
      <c r="D45" s="38">
        <f t="shared" ref="D45:AL45" si="22">D43-C43</f>
        <v>0</v>
      </c>
      <c r="E45" s="38">
        <f t="shared" si="22"/>
        <v>0</v>
      </c>
      <c r="F45" s="38">
        <f t="shared" si="22"/>
        <v>0</v>
      </c>
      <c r="G45" s="38">
        <f t="shared" si="22"/>
        <v>0</v>
      </c>
      <c r="H45" s="38">
        <f t="shared" si="22"/>
        <v>0</v>
      </c>
      <c r="I45" s="38">
        <f t="shared" si="22"/>
        <v>0</v>
      </c>
      <c r="J45" s="38">
        <f t="shared" si="22"/>
        <v>0</v>
      </c>
      <c r="K45" s="38">
        <f t="shared" si="22"/>
        <v>0</v>
      </c>
      <c r="L45" s="38">
        <f t="shared" si="22"/>
        <v>0</v>
      </c>
      <c r="M45" s="38">
        <f t="shared" si="22"/>
        <v>0</v>
      </c>
      <c r="N45" s="38">
        <f t="shared" si="22"/>
        <v>0</v>
      </c>
      <c r="O45" s="38">
        <f t="shared" si="22"/>
        <v>0</v>
      </c>
      <c r="P45" s="38">
        <f t="shared" si="22"/>
        <v>0</v>
      </c>
      <c r="Q45" s="38">
        <f t="shared" si="22"/>
        <v>0</v>
      </c>
      <c r="R45" s="38">
        <f t="shared" si="22"/>
        <v>0</v>
      </c>
      <c r="S45" s="38">
        <f t="shared" si="22"/>
        <v>0</v>
      </c>
      <c r="T45" s="38">
        <f t="shared" si="22"/>
        <v>0</v>
      </c>
      <c r="U45" s="38">
        <f t="shared" si="22"/>
        <v>0</v>
      </c>
      <c r="V45" s="38">
        <f t="shared" si="22"/>
        <v>0</v>
      </c>
      <c r="W45" s="38">
        <f t="shared" si="22"/>
        <v>0</v>
      </c>
      <c r="X45" s="38">
        <f t="shared" si="22"/>
        <v>0</v>
      </c>
      <c r="Y45" s="38">
        <f t="shared" si="22"/>
        <v>0</v>
      </c>
      <c r="Z45" s="38">
        <f t="shared" si="22"/>
        <v>1</v>
      </c>
      <c r="AA45" s="38">
        <f t="shared" si="22"/>
        <v>0</v>
      </c>
      <c r="AB45" s="38">
        <f t="shared" si="22"/>
        <v>0</v>
      </c>
      <c r="AC45" s="38">
        <f t="shared" si="22"/>
        <v>0</v>
      </c>
      <c r="AD45" s="38">
        <f t="shared" si="22"/>
        <v>0</v>
      </c>
      <c r="AE45" s="38">
        <f t="shared" si="22"/>
        <v>0</v>
      </c>
      <c r="AF45" s="38">
        <f t="shared" si="22"/>
        <v>0</v>
      </c>
      <c r="AG45" s="38">
        <f t="shared" si="22"/>
        <v>0</v>
      </c>
      <c r="AH45" s="38">
        <f t="shared" si="22"/>
        <v>0</v>
      </c>
      <c r="AI45" s="38">
        <f t="shared" si="22"/>
        <v>0</v>
      </c>
      <c r="AJ45" s="38">
        <f t="shared" si="22"/>
        <v>0</v>
      </c>
      <c r="AK45" s="38">
        <f t="shared" si="22"/>
        <v>0</v>
      </c>
      <c r="AL45" s="38">
        <f t="shared" si="22"/>
        <v>0</v>
      </c>
    </row>
    <row r="46" spans="1:38" x14ac:dyDescent="0.25">
      <c r="A46" s="2" t="s">
        <v>331</v>
      </c>
      <c r="C46" s="38">
        <f>C44-0</f>
        <v>0</v>
      </c>
      <c r="D46" s="38">
        <f t="shared" ref="D46:AL46" si="23">D44-C44</f>
        <v>0</v>
      </c>
      <c r="E46" s="38">
        <f t="shared" si="23"/>
        <v>0</v>
      </c>
      <c r="F46" s="38">
        <f t="shared" si="23"/>
        <v>0</v>
      </c>
      <c r="G46" s="38">
        <f t="shared" si="23"/>
        <v>0</v>
      </c>
      <c r="H46" s="38">
        <f t="shared" si="23"/>
        <v>0</v>
      </c>
      <c r="I46" s="38">
        <f t="shared" si="23"/>
        <v>0</v>
      </c>
      <c r="J46" s="38">
        <f t="shared" si="23"/>
        <v>0</v>
      </c>
      <c r="K46" s="38">
        <f t="shared" si="23"/>
        <v>0</v>
      </c>
      <c r="L46" s="38">
        <f t="shared" si="23"/>
        <v>0</v>
      </c>
      <c r="M46" s="38">
        <f t="shared" si="23"/>
        <v>0</v>
      </c>
      <c r="N46" s="38">
        <f t="shared" si="23"/>
        <v>0</v>
      </c>
      <c r="O46" s="38">
        <f t="shared" si="23"/>
        <v>0</v>
      </c>
      <c r="P46" s="38">
        <f t="shared" si="23"/>
        <v>0</v>
      </c>
      <c r="Q46" s="38">
        <f t="shared" si="23"/>
        <v>0</v>
      </c>
      <c r="R46" s="38">
        <f t="shared" si="23"/>
        <v>0</v>
      </c>
      <c r="S46" s="38">
        <f t="shared" si="23"/>
        <v>0</v>
      </c>
      <c r="T46" s="38">
        <f t="shared" si="23"/>
        <v>0</v>
      </c>
      <c r="U46" s="38">
        <f t="shared" si="23"/>
        <v>0</v>
      </c>
      <c r="V46" s="38">
        <f t="shared" si="23"/>
        <v>0</v>
      </c>
      <c r="W46" s="38">
        <f t="shared" si="23"/>
        <v>0</v>
      </c>
      <c r="X46" s="38">
        <f t="shared" si="23"/>
        <v>0</v>
      </c>
      <c r="Y46" s="38">
        <f t="shared" si="23"/>
        <v>0</v>
      </c>
      <c r="Z46" s="38">
        <f t="shared" si="23"/>
        <v>0</v>
      </c>
      <c r="AA46" s="38">
        <f t="shared" si="23"/>
        <v>0</v>
      </c>
      <c r="AB46" s="38">
        <f t="shared" si="23"/>
        <v>0</v>
      </c>
      <c r="AC46" s="38">
        <f t="shared" si="23"/>
        <v>0</v>
      </c>
      <c r="AD46" s="38">
        <f t="shared" si="23"/>
        <v>0</v>
      </c>
      <c r="AE46" s="38">
        <f t="shared" si="23"/>
        <v>0</v>
      </c>
      <c r="AF46" s="38">
        <f t="shared" si="23"/>
        <v>0</v>
      </c>
      <c r="AG46" s="38">
        <f t="shared" si="23"/>
        <v>0</v>
      </c>
      <c r="AH46" s="38">
        <f t="shared" si="23"/>
        <v>0</v>
      </c>
      <c r="AI46" s="38">
        <f t="shared" si="23"/>
        <v>0</v>
      </c>
      <c r="AJ46" s="38">
        <f t="shared" si="23"/>
        <v>0</v>
      </c>
      <c r="AK46" s="38">
        <f t="shared" si="23"/>
        <v>0</v>
      </c>
      <c r="AL46" s="38">
        <f t="shared" si="23"/>
        <v>1</v>
      </c>
    </row>
    <row r="47" spans="1:38" x14ac:dyDescent="0.25">
      <c r="A47" s="3" t="s">
        <v>32</v>
      </c>
      <c r="C47" s="41">
        <f t="shared" ref="C47:AL47" ca="1" si="24">C38+C42+C43+C44</f>
        <v>0</v>
      </c>
      <c r="D47" s="41">
        <f t="shared" ca="1" si="24"/>
        <v>1</v>
      </c>
      <c r="E47" s="41">
        <f t="shared" ca="1" si="24"/>
        <v>2</v>
      </c>
      <c r="F47" s="41">
        <f t="shared" ca="1" si="24"/>
        <v>2</v>
      </c>
      <c r="G47" s="41">
        <f t="shared" ca="1" si="24"/>
        <v>3</v>
      </c>
      <c r="H47" s="41">
        <f t="shared" ca="1" si="24"/>
        <v>3</v>
      </c>
      <c r="I47" s="41">
        <f t="shared" ca="1" si="24"/>
        <v>4</v>
      </c>
      <c r="J47" s="41">
        <f t="shared" ca="1" si="24"/>
        <v>5</v>
      </c>
      <c r="K47" s="41">
        <f t="shared" ca="1" si="24"/>
        <v>7</v>
      </c>
      <c r="L47" s="41">
        <f t="shared" ca="1" si="24"/>
        <v>8</v>
      </c>
      <c r="M47" s="41">
        <f t="shared" ca="1" si="24"/>
        <v>8</v>
      </c>
      <c r="N47" s="41">
        <f t="shared" ca="1" si="24"/>
        <v>9</v>
      </c>
      <c r="O47" s="41">
        <f t="shared" ca="1" si="24"/>
        <v>10</v>
      </c>
      <c r="P47" s="41">
        <f t="shared" ca="1" si="24"/>
        <v>11</v>
      </c>
      <c r="Q47" s="41">
        <f t="shared" ca="1" si="24"/>
        <v>13</v>
      </c>
      <c r="R47" s="41">
        <f t="shared" ca="1" si="24"/>
        <v>13</v>
      </c>
      <c r="S47" s="41">
        <f t="shared" ca="1" si="24"/>
        <v>14</v>
      </c>
      <c r="T47" s="41">
        <f t="shared" ca="1" si="24"/>
        <v>17</v>
      </c>
      <c r="U47" s="41">
        <f t="shared" ca="1" si="24"/>
        <v>18</v>
      </c>
      <c r="V47" s="41">
        <f t="shared" ca="1" si="24"/>
        <v>20</v>
      </c>
      <c r="W47" s="41">
        <f t="shared" ca="1" si="24"/>
        <v>21</v>
      </c>
      <c r="X47" s="41">
        <f t="shared" ca="1" si="24"/>
        <v>23</v>
      </c>
      <c r="Y47" s="41">
        <f t="shared" ca="1" si="24"/>
        <v>26</v>
      </c>
      <c r="Z47" s="41">
        <f t="shared" ca="1" si="24"/>
        <v>27</v>
      </c>
      <c r="AA47" s="41">
        <f t="shared" ca="1" si="24"/>
        <v>31</v>
      </c>
      <c r="AB47" s="41">
        <f t="shared" ca="1" si="24"/>
        <v>32</v>
      </c>
      <c r="AC47" s="41">
        <f t="shared" ca="1" si="24"/>
        <v>35</v>
      </c>
      <c r="AD47" s="41">
        <f t="shared" ca="1" si="24"/>
        <v>38</v>
      </c>
      <c r="AE47" s="41">
        <f t="shared" ca="1" si="24"/>
        <v>40</v>
      </c>
      <c r="AF47" s="41">
        <f t="shared" ca="1" si="24"/>
        <v>42</v>
      </c>
      <c r="AG47" s="41">
        <f t="shared" ca="1" si="24"/>
        <v>43</v>
      </c>
      <c r="AH47" s="41">
        <f t="shared" ca="1" si="24"/>
        <v>47</v>
      </c>
      <c r="AI47" s="41">
        <f t="shared" ca="1" si="24"/>
        <v>50</v>
      </c>
      <c r="AJ47" s="41">
        <f t="shared" ca="1" si="24"/>
        <v>53</v>
      </c>
      <c r="AK47" s="41">
        <f t="shared" ca="1" si="24"/>
        <v>56</v>
      </c>
      <c r="AL47" s="41">
        <f t="shared" ca="1" si="24"/>
        <v>59</v>
      </c>
    </row>
    <row r="49" spans="1:38" x14ac:dyDescent="0.25">
      <c r="A49" s="5" t="s">
        <v>33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</row>
    <row r="50" spans="1:38" x14ac:dyDescent="0.25">
      <c r="A50" s="2" t="s">
        <v>332</v>
      </c>
      <c r="C50" s="12">
        <f>C15*Assumptions!$B$28+IF(C6=1,Assumptions!$B$25*Assumptions!$B$28,0)</f>
        <v>50000</v>
      </c>
      <c r="D50" s="12">
        <f>D15*Assumptions!$B$28+IF(D6=1,Assumptions!$B$25*Assumptions!$B$28,0)</f>
        <v>10000</v>
      </c>
      <c r="E50" s="12">
        <f>E15*Assumptions!$B$28+IF(E6=1,Assumptions!$B$25*Assumptions!$B$28,0)</f>
        <v>0</v>
      </c>
      <c r="F50" s="12">
        <f>F15*Assumptions!$B$28+IF(F6=1,Assumptions!$B$25*Assumptions!$B$28,0)</f>
        <v>10000</v>
      </c>
      <c r="G50" s="12">
        <f>G15*Assumptions!$B$28+IF(G6=1,Assumptions!$B$25*Assumptions!$B$28,0)</f>
        <v>10000</v>
      </c>
      <c r="H50" s="12">
        <f>H15*Assumptions!$B$28+IF(H6=1,Assumptions!$B$25*Assumptions!$B$28,0)</f>
        <v>10000</v>
      </c>
      <c r="I50" s="12">
        <f>I15*Assumptions!$B$28+IF(I6=1,Assumptions!$B$25*Assumptions!$B$28,0)</f>
        <v>0</v>
      </c>
      <c r="J50" s="12">
        <f>J15*Assumptions!$B$28+IF(J6=1,Assumptions!$B$25*Assumptions!$B$28,0)</f>
        <v>10000</v>
      </c>
      <c r="K50" s="12">
        <f>K15*Assumptions!$B$28+IF(K6=1,Assumptions!$B$25*Assumptions!$B$28,0)</f>
        <v>10000</v>
      </c>
      <c r="L50" s="12">
        <f>L15*Assumptions!$B$28+IF(L6=1,Assumptions!$B$25*Assumptions!$B$28,0)</f>
        <v>10000</v>
      </c>
      <c r="M50" s="12">
        <f>M15*Assumptions!$B$28+IF(M6=1,Assumptions!$B$25*Assumptions!$B$28,0)</f>
        <v>0</v>
      </c>
      <c r="N50" s="12">
        <f>N15*Assumptions!$B$28+IF(N6=1,Assumptions!$B$25*Assumptions!$B$28,0)</f>
        <v>10000</v>
      </c>
      <c r="O50" s="12">
        <f>O15*Assumptions!$B$28+IF(O6=1,Assumptions!$B$25*Assumptions!$B$28,0)</f>
        <v>20000</v>
      </c>
      <c r="P50" s="12">
        <f>P15*Assumptions!$B$28+IF(P6=1,Assumptions!$B$25*Assumptions!$B$28,0)</f>
        <v>20000</v>
      </c>
      <c r="Q50" s="12">
        <f>Q15*Assumptions!$B$28+IF(Q6=1,Assumptions!$B$25*Assumptions!$B$28,0)</f>
        <v>30000</v>
      </c>
      <c r="R50" s="12">
        <f>R15*Assumptions!$B$28+IF(R6=1,Assumptions!$B$25*Assumptions!$B$28,0)</f>
        <v>20000</v>
      </c>
      <c r="S50" s="12">
        <f>S15*Assumptions!$B$28+IF(S6=1,Assumptions!$B$25*Assumptions!$B$28,0)</f>
        <v>20000</v>
      </c>
      <c r="T50" s="12">
        <f>T15*Assumptions!$B$28+IF(T6=1,Assumptions!$B$25*Assumptions!$B$28,0)</f>
        <v>20000</v>
      </c>
      <c r="U50" s="12">
        <f>U15*Assumptions!$B$28+IF(U6=1,Assumptions!$B$25*Assumptions!$B$28,0)</f>
        <v>20000</v>
      </c>
      <c r="V50" s="12">
        <f>V15*Assumptions!$B$28+IF(V6=1,Assumptions!$B$25*Assumptions!$B$28,0)</f>
        <v>30000</v>
      </c>
      <c r="W50" s="12">
        <f>W15*Assumptions!$B$28+IF(W6=1,Assumptions!$B$25*Assumptions!$B$28,0)</f>
        <v>20000</v>
      </c>
      <c r="X50" s="12">
        <f>X15*Assumptions!$B$28+IF(X6=1,Assumptions!$B$25*Assumptions!$B$28,0)</f>
        <v>20000</v>
      </c>
      <c r="Y50" s="12">
        <f>Y15*Assumptions!$B$28+IF(Y6=1,Assumptions!$B$25*Assumptions!$B$28,0)</f>
        <v>20000</v>
      </c>
      <c r="Z50" s="12">
        <f>Z15*Assumptions!$B$28+IF(Z6=1,Assumptions!$B$25*Assumptions!$B$28,0)</f>
        <v>20000</v>
      </c>
      <c r="AA50" s="12">
        <f>AA15*Assumptions!$B$28+IF(AA6=1,Assumptions!$B$25*Assumptions!$B$28,0)</f>
        <v>40000</v>
      </c>
      <c r="AB50" s="12">
        <f>AB15*Assumptions!$B$28+IF(AB6=1,Assumptions!$B$25*Assumptions!$B$28,0)</f>
        <v>30000</v>
      </c>
      <c r="AC50" s="12">
        <f>AC15*Assumptions!$B$28+IF(AC6=1,Assumptions!$B$25*Assumptions!$B$28,0)</f>
        <v>30000</v>
      </c>
      <c r="AD50" s="12">
        <f>AD15*Assumptions!$B$28+IF(AD6=1,Assumptions!$B$25*Assumptions!$B$28,0)</f>
        <v>30000</v>
      </c>
      <c r="AE50" s="12">
        <f>AE15*Assumptions!$B$28+IF(AE6=1,Assumptions!$B$25*Assumptions!$B$28,0)</f>
        <v>40000</v>
      </c>
      <c r="AF50" s="12">
        <f>AF15*Assumptions!$B$28+IF(AF6=1,Assumptions!$B$25*Assumptions!$B$28,0)</f>
        <v>30000</v>
      </c>
      <c r="AG50" s="12">
        <f>AG15*Assumptions!$B$28+IF(AG6=1,Assumptions!$B$25*Assumptions!$B$28,0)</f>
        <v>30000</v>
      </c>
      <c r="AH50" s="12">
        <f>AH15*Assumptions!$B$28+IF(AH6=1,Assumptions!$B$25*Assumptions!$B$28,0)</f>
        <v>40000</v>
      </c>
      <c r="AI50" s="12">
        <f>AI15*Assumptions!$B$28+IF(AI6=1,Assumptions!$B$25*Assumptions!$B$28,0)</f>
        <v>30000</v>
      </c>
      <c r="AJ50" s="12">
        <f>AJ15*Assumptions!$B$28+IF(AJ6=1,Assumptions!$B$25*Assumptions!$B$28,0)</f>
        <v>30000</v>
      </c>
      <c r="AK50" s="12">
        <f>AK15*Assumptions!$B$28+IF(AK6=1,Assumptions!$B$25*Assumptions!$B$28,0)</f>
        <v>40000</v>
      </c>
      <c r="AL50" s="12">
        <f>AL15*Assumptions!$B$28+IF(AL6=1,Assumptions!$B$25*Assumptions!$B$28,0)</f>
        <v>30000</v>
      </c>
    </row>
    <row r="51" spans="1:38" x14ac:dyDescent="0.25">
      <c r="A51" s="2" t="s">
        <v>333</v>
      </c>
      <c r="C51" s="12">
        <f ca="1">-Assumptions!$B$28*Assumptions!$B$29*IF(AND(C6=Assumptions!$B$17,Assumptions!$B$24&gt;0),ROUND(C19*Assumptions!$B$25/Assumptions!$B$24,0),C19)</f>
        <v>0</v>
      </c>
      <c r="D51" s="12">
        <f ca="1">-Assumptions!$B$28*Assumptions!$B$29*IF(AND(D6=Assumptions!$B$17,Assumptions!$B$24&gt;0),ROUND(D19*Assumptions!$B$25/Assumptions!$B$24,0),D19)</f>
        <v>0</v>
      </c>
      <c r="E51" s="12">
        <f ca="1">-Assumptions!$B$28*Assumptions!$B$29*IF(AND(E6=Assumptions!$B$17,Assumptions!$B$24&gt;0),ROUND(E19*Assumptions!$B$25/Assumptions!$B$24,0),E19)</f>
        <v>-20000</v>
      </c>
      <c r="F51" s="12">
        <f ca="1">-Assumptions!$B$28*Assumptions!$B$29*IF(AND(F6=Assumptions!$B$17,Assumptions!$B$24&gt;0),ROUND(F19*Assumptions!$B$25/Assumptions!$B$24,0),F19)</f>
        <v>-10000</v>
      </c>
      <c r="G51" s="12">
        <f ca="1">-Assumptions!$B$28*Assumptions!$B$29*IF(AND(G6=Assumptions!$B$17,Assumptions!$B$24&gt;0),ROUND(G19*Assumptions!$B$25/Assumptions!$B$24,0),G19)</f>
        <v>0</v>
      </c>
      <c r="H51" s="12">
        <f ca="1">-Assumptions!$B$28*Assumptions!$B$29*IF(AND(H6=Assumptions!$B$17,Assumptions!$B$24&gt;0),ROUND(H19*Assumptions!$B$25/Assumptions!$B$24,0),H19)</f>
        <v>0</v>
      </c>
      <c r="I51" s="12">
        <f ca="1">-Assumptions!$B$28*Assumptions!$B$29*IF(AND(I6=Assumptions!$B$17,Assumptions!$B$24&gt;0),ROUND(I19*Assumptions!$B$25/Assumptions!$B$24,0),I19)</f>
        <v>-10000</v>
      </c>
      <c r="J51" s="12">
        <f ca="1">-Assumptions!$B$28*Assumptions!$B$29*IF(AND(J6=Assumptions!$B$17,Assumptions!$B$24&gt;0),ROUND(J19*Assumptions!$B$25/Assumptions!$B$24,0),J19)</f>
        <v>0</v>
      </c>
      <c r="K51" s="12">
        <f ca="1">-Assumptions!$B$28*Assumptions!$B$29*IF(AND(K6=Assumptions!$B$17,Assumptions!$B$24&gt;0),ROUND(K19*Assumptions!$B$25/Assumptions!$B$24,0),K19)</f>
        <v>-10000</v>
      </c>
      <c r="L51" s="12">
        <f ca="1">-Assumptions!$B$28*Assumptions!$B$29*IF(AND(L6=Assumptions!$B$17,Assumptions!$B$24&gt;0),ROUND(L19*Assumptions!$B$25/Assumptions!$B$24,0),L19)</f>
        <v>0</v>
      </c>
      <c r="M51" s="12">
        <f ca="1">-Assumptions!$B$28*Assumptions!$B$29*IF(AND(M6=Assumptions!$B$17,Assumptions!$B$24&gt;0),ROUND(M19*Assumptions!$B$25/Assumptions!$B$24,0),M19)</f>
        <v>0</v>
      </c>
      <c r="N51" s="12">
        <f ca="1">-Assumptions!$B$28*Assumptions!$B$29*IF(AND(N6=Assumptions!$B$17,Assumptions!$B$24&gt;0),ROUND(N19*Assumptions!$B$25/Assumptions!$B$24,0),N19)</f>
        <v>-10000</v>
      </c>
      <c r="O51" s="12">
        <f ca="1">-Assumptions!$B$28*Assumptions!$B$29*IF(AND(O6=Assumptions!$B$17,Assumptions!$B$24&gt;0),ROUND(O19*Assumptions!$B$25/Assumptions!$B$24,0),O19)</f>
        <v>0</v>
      </c>
      <c r="P51" s="12">
        <f ca="1">-Assumptions!$B$28*Assumptions!$B$29*IF(AND(P6=Assumptions!$B$17,Assumptions!$B$24&gt;0),ROUND(P19*Assumptions!$B$25/Assumptions!$B$24,0),P19)</f>
        <v>0</v>
      </c>
      <c r="Q51" s="12">
        <f ca="1">-Assumptions!$B$28*Assumptions!$B$29*IF(AND(Q6=Assumptions!$B$17,Assumptions!$B$24&gt;0),ROUND(Q19*Assumptions!$B$25/Assumptions!$B$24,0),Q19)</f>
        <v>-10000</v>
      </c>
      <c r="R51" s="12">
        <f ca="1">-Assumptions!$B$28*Assumptions!$B$29*IF(AND(R6=Assumptions!$B$17,Assumptions!$B$24&gt;0),ROUND(R19*Assumptions!$B$25/Assumptions!$B$24,0),R19)</f>
        <v>-10000</v>
      </c>
      <c r="S51" s="12">
        <f ca="1">-Assumptions!$B$28*Assumptions!$B$29*IF(AND(S6=Assumptions!$B$17,Assumptions!$B$24&gt;0),ROUND(S19*Assumptions!$B$25/Assumptions!$B$24,0),S19)</f>
        <v>-10000</v>
      </c>
      <c r="T51" s="12">
        <f ca="1">-Assumptions!$B$28*Assumptions!$B$29*IF(AND(T6=Assumptions!$B$17,Assumptions!$B$24&gt;0),ROUND(T19*Assumptions!$B$25/Assumptions!$B$24,0),T19)</f>
        <v>-10000</v>
      </c>
      <c r="U51" s="12">
        <f ca="1">-Assumptions!$B$28*Assumptions!$B$29*IF(AND(U6=Assumptions!$B$17,Assumptions!$B$24&gt;0),ROUND(U19*Assumptions!$B$25/Assumptions!$B$24,0),U19)</f>
        <v>-10000</v>
      </c>
      <c r="V51" s="12">
        <f ca="1">-Assumptions!$B$28*Assumptions!$B$29*IF(AND(V6=Assumptions!$B$17,Assumptions!$B$24&gt;0),ROUND(V19*Assumptions!$B$25/Assumptions!$B$24,0),V19)</f>
        <v>-10000</v>
      </c>
      <c r="W51" s="12">
        <f ca="1">-Assumptions!$B$28*Assumptions!$B$29*IF(AND(W6=Assumptions!$B$17,Assumptions!$B$24&gt;0),ROUND(W19*Assumptions!$B$25/Assumptions!$B$24,0),W19)</f>
        <v>-10000</v>
      </c>
      <c r="X51" s="12">
        <f ca="1">-Assumptions!$B$28*Assumptions!$B$29*IF(AND(X6=Assumptions!$B$17,Assumptions!$B$24&gt;0),ROUND(X19*Assumptions!$B$25/Assumptions!$B$24,0),X19)</f>
        <v>-10000</v>
      </c>
      <c r="Y51" s="12">
        <f ca="1">-Assumptions!$B$28*Assumptions!$B$29*IF(AND(Y6=Assumptions!$B$17,Assumptions!$B$24&gt;0),ROUND(Y19*Assumptions!$B$25/Assumptions!$B$24,0),Y19)</f>
        <v>-20000</v>
      </c>
      <c r="Z51" s="12">
        <f ca="1">-Assumptions!$B$28*Assumptions!$B$29*IF(AND(Z6=Assumptions!$B$17,Assumptions!$B$24&gt;0),ROUND(Z19*Assumptions!$B$25/Assumptions!$B$24,0),Z19)</f>
        <v>-10000</v>
      </c>
      <c r="AA51" s="12">
        <f ca="1">-Assumptions!$B$28*Assumptions!$B$29*IF(AND(AA6=Assumptions!$B$17,Assumptions!$B$24&gt;0),ROUND(AA19*Assumptions!$B$25/Assumptions!$B$24,0),AA19)</f>
        <v>-10000</v>
      </c>
      <c r="AB51" s="12">
        <f ca="1">-Assumptions!$B$28*Assumptions!$B$29*IF(AND(AB6=Assumptions!$B$17,Assumptions!$B$24&gt;0),ROUND(AB19*Assumptions!$B$25/Assumptions!$B$24,0),AB19)</f>
        <v>-10000</v>
      </c>
      <c r="AC51" s="12">
        <f ca="1">-Assumptions!$B$28*Assumptions!$B$29*IF(AND(AC6=Assumptions!$B$17,Assumptions!$B$24&gt;0),ROUND(AC19*Assumptions!$B$25/Assumptions!$B$24,0),AC19)</f>
        <v>-10000</v>
      </c>
      <c r="AD51" s="12">
        <f ca="1">-Assumptions!$B$28*Assumptions!$B$29*IF(AND(AD6=Assumptions!$B$17,Assumptions!$B$24&gt;0),ROUND(AD19*Assumptions!$B$25/Assumptions!$B$24,0),AD19)</f>
        <v>-20000</v>
      </c>
      <c r="AE51" s="12">
        <f ca="1">-Assumptions!$B$28*Assumptions!$B$29*IF(AND(AE6=Assumptions!$B$17,Assumptions!$B$24&gt;0),ROUND(AE19*Assumptions!$B$25/Assumptions!$B$24,0),AE19)</f>
        <v>-10000</v>
      </c>
      <c r="AF51" s="12">
        <f ca="1">-Assumptions!$B$28*Assumptions!$B$29*IF(AND(AF6=Assumptions!$B$17,Assumptions!$B$24&gt;0),ROUND(AF19*Assumptions!$B$25/Assumptions!$B$24,0),AF19)</f>
        <v>-20000</v>
      </c>
      <c r="AG51" s="12">
        <f ca="1">-Assumptions!$B$28*Assumptions!$B$29*IF(AND(AG6=Assumptions!$B$17,Assumptions!$B$24&gt;0),ROUND(AG19*Assumptions!$B$25/Assumptions!$B$24,0),AG19)</f>
        <v>-10000</v>
      </c>
      <c r="AH51" s="12">
        <f ca="1">-Assumptions!$B$28*Assumptions!$B$29*IF(AND(AH6=Assumptions!$B$17,Assumptions!$B$24&gt;0),ROUND(AH19*Assumptions!$B$25/Assumptions!$B$24,0),AH19)</f>
        <v>-20000</v>
      </c>
      <c r="AI51" s="12">
        <f ca="1">-Assumptions!$B$28*Assumptions!$B$29*IF(AND(AI6=Assumptions!$B$17,Assumptions!$B$24&gt;0),ROUND(AI19*Assumptions!$B$25/Assumptions!$B$24,0),AI19)</f>
        <v>-20000</v>
      </c>
      <c r="AJ51" s="12">
        <f ca="1">-Assumptions!$B$28*Assumptions!$B$29*IF(AND(AJ6=Assumptions!$B$17,Assumptions!$B$24&gt;0),ROUND(AJ19*Assumptions!$B$25/Assumptions!$B$24,0),AJ19)</f>
        <v>-10000</v>
      </c>
      <c r="AK51" s="12">
        <f ca="1">-Assumptions!$B$28*Assumptions!$B$29*IF(AND(AK6=Assumptions!$B$17,Assumptions!$B$24&gt;0),ROUND(AK19*Assumptions!$B$25/Assumptions!$B$24,0),AK19)</f>
        <v>-20000</v>
      </c>
      <c r="AL51" s="12">
        <f ca="1">-Assumptions!$B$28*Assumptions!$B$29*IF(AND(AL6=Assumptions!$B$17,Assumptions!$B$24&gt;0),ROUND(AL19*Assumptions!$B$25/Assumptions!$B$24,0),AL19)</f>
        <v>-20000</v>
      </c>
    </row>
    <row r="52" spans="1:38" x14ac:dyDescent="0.25">
      <c r="A52" s="2" t="s">
        <v>35</v>
      </c>
      <c r="C52" s="12">
        <f ca="1">C38*Assumptions!$B$30/12</f>
        <v>0</v>
      </c>
      <c r="D52" s="12">
        <f ca="1">D38*Assumptions!$B$30/12</f>
        <v>1666.6666666666667</v>
      </c>
      <c r="E52" s="12">
        <f ca="1">E38*Assumptions!$B$30/12</f>
        <v>3333.3333333333335</v>
      </c>
      <c r="F52" s="12">
        <f ca="1">F38*Assumptions!$B$30/12</f>
        <v>3333.3333333333335</v>
      </c>
      <c r="G52" s="12">
        <f ca="1">G38*Assumptions!$B$30/12</f>
        <v>5000</v>
      </c>
      <c r="H52" s="12">
        <f ca="1">H38*Assumptions!$B$30/12</f>
        <v>5000</v>
      </c>
      <c r="I52" s="12">
        <f ca="1">I38*Assumptions!$B$30/12</f>
        <v>6666.666666666667</v>
      </c>
      <c r="J52" s="12">
        <f ca="1">J38*Assumptions!$B$30/12</f>
        <v>8333.3333333333339</v>
      </c>
      <c r="K52" s="12">
        <f ca="1">K38*Assumptions!$B$30/12</f>
        <v>8333.3333333333339</v>
      </c>
      <c r="L52" s="12">
        <f ca="1">L38*Assumptions!$B$30/12</f>
        <v>8333.3333333333339</v>
      </c>
      <c r="M52" s="12">
        <f ca="1">M38*Assumptions!$B$30/12</f>
        <v>8333.3333333333339</v>
      </c>
      <c r="N52" s="12">
        <f ca="1">N38*Assumptions!$B$30/12</f>
        <v>10000</v>
      </c>
      <c r="O52" s="12">
        <f ca="1">O38*Assumptions!$B$30/12</f>
        <v>11666.666666666666</v>
      </c>
      <c r="P52" s="12">
        <f ca="1">P38*Assumptions!$B$30/12</f>
        <v>13333.333333333334</v>
      </c>
      <c r="Q52" s="12">
        <f ca="1">Q38*Assumptions!$B$30/12</f>
        <v>15000</v>
      </c>
      <c r="R52" s="12">
        <f ca="1">R38*Assumptions!$B$30/12</f>
        <v>15000</v>
      </c>
      <c r="S52" s="12">
        <f ca="1">S38*Assumptions!$B$30/12</f>
        <v>16666.666666666668</v>
      </c>
      <c r="T52" s="12">
        <f ca="1">T38*Assumptions!$B$30/12</f>
        <v>20000</v>
      </c>
      <c r="U52" s="12">
        <f ca="1">U38*Assumptions!$B$30/12</f>
        <v>21666.666666666668</v>
      </c>
      <c r="V52" s="12">
        <f ca="1">V38*Assumptions!$B$30/12</f>
        <v>25000</v>
      </c>
      <c r="W52" s="12">
        <f ca="1">W38*Assumptions!$B$30/12</f>
        <v>26666.666666666668</v>
      </c>
      <c r="X52" s="12">
        <f ca="1">X38*Assumptions!$B$30/12</f>
        <v>28333.333333333332</v>
      </c>
      <c r="Y52" s="12">
        <f ca="1">Y38*Assumptions!$B$30/12</f>
        <v>31666.666666666668</v>
      </c>
      <c r="Z52" s="12">
        <f ca="1">Z38*Assumptions!$B$30/12</f>
        <v>31666.666666666668</v>
      </c>
      <c r="AA52" s="12">
        <f ca="1">AA38*Assumptions!$B$30/12</f>
        <v>35000</v>
      </c>
      <c r="AB52" s="12">
        <f ca="1">AB38*Assumptions!$B$30/12</f>
        <v>36666.666666666664</v>
      </c>
      <c r="AC52" s="12">
        <f ca="1">AC38*Assumptions!$B$30/12</f>
        <v>40000</v>
      </c>
      <c r="AD52" s="12">
        <f ca="1">AD38*Assumptions!$B$30/12</f>
        <v>43333.333333333336</v>
      </c>
      <c r="AE52" s="12">
        <f ca="1">AE38*Assumptions!$B$30/12</f>
        <v>45000</v>
      </c>
      <c r="AF52" s="12">
        <f ca="1">AF38*Assumptions!$B$30/12</f>
        <v>48333.333333333336</v>
      </c>
      <c r="AG52" s="12">
        <f ca="1">AG38*Assumptions!$B$30/12</f>
        <v>50000</v>
      </c>
      <c r="AH52" s="12">
        <f ca="1">AH38*Assumptions!$B$30/12</f>
        <v>55000</v>
      </c>
      <c r="AI52" s="12">
        <f ca="1">AI38*Assumptions!$B$30/12</f>
        <v>56666.666666666664</v>
      </c>
      <c r="AJ52" s="12">
        <f ca="1">AJ38*Assumptions!$B$30/12</f>
        <v>60000</v>
      </c>
      <c r="AK52" s="12">
        <f ca="1">AK38*Assumptions!$B$30/12</f>
        <v>63333.333333333336</v>
      </c>
      <c r="AL52" s="12">
        <f ca="1">AL38*Assumptions!$B$30/12</f>
        <v>65000</v>
      </c>
    </row>
    <row r="53" spans="1:38" x14ac:dyDescent="0.25">
      <c r="A53" s="2" t="s">
        <v>36</v>
      </c>
      <c r="C53" s="12">
        <f ca="1">C42*Assumptions!$B$31/12</f>
        <v>0</v>
      </c>
      <c r="D53" s="12">
        <f ca="1">D42*Assumptions!$B$31/12</f>
        <v>0</v>
      </c>
      <c r="E53" s="12">
        <f ca="1">E42*Assumptions!$B$31/12</f>
        <v>0</v>
      </c>
      <c r="F53" s="12">
        <f ca="1">F42*Assumptions!$B$31/12</f>
        <v>0</v>
      </c>
      <c r="G53" s="12">
        <f ca="1">G42*Assumptions!$B$31/12</f>
        <v>0</v>
      </c>
      <c r="H53" s="12">
        <f ca="1">H42*Assumptions!$B$31/12</f>
        <v>0</v>
      </c>
      <c r="I53" s="12">
        <f ca="1">I42*Assumptions!$B$31/12</f>
        <v>0</v>
      </c>
      <c r="J53" s="12">
        <f ca="1">J42*Assumptions!$B$31/12</f>
        <v>0</v>
      </c>
      <c r="K53" s="12">
        <f ca="1">K42*Assumptions!$B$31/12</f>
        <v>7500</v>
      </c>
      <c r="L53" s="12">
        <f ca="1">L42*Assumptions!$B$31/12</f>
        <v>11250</v>
      </c>
      <c r="M53" s="12">
        <f ca="1">M42*Assumptions!$B$31/12</f>
        <v>11250</v>
      </c>
      <c r="N53" s="12">
        <f ca="1">N42*Assumptions!$B$31/12</f>
        <v>11250</v>
      </c>
      <c r="O53" s="12">
        <f ca="1">O42*Assumptions!$B$31/12</f>
        <v>11250</v>
      </c>
      <c r="P53" s="12">
        <f ca="1">P42*Assumptions!$B$31/12</f>
        <v>11250</v>
      </c>
      <c r="Q53" s="12">
        <f ca="1">Q42*Assumptions!$B$31/12</f>
        <v>15000</v>
      </c>
      <c r="R53" s="12">
        <f ca="1">R42*Assumptions!$B$31/12</f>
        <v>15000</v>
      </c>
      <c r="S53" s="12">
        <f ca="1">S42*Assumptions!$B$31/12</f>
        <v>15000</v>
      </c>
      <c r="T53" s="12">
        <f ca="1">T42*Assumptions!$B$31/12</f>
        <v>18750</v>
      </c>
      <c r="U53" s="12">
        <f ca="1">U42*Assumptions!$B$31/12</f>
        <v>18750</v>
      </c>
      <c r="V53" s="12">
        <f ca="1">V42*Assumptions!$B$31/12</f>
        <v>18750</v>
      </c>
      <c r="W53" s="12">
        <f ca="1">W42*Assumptions!$B$31/12</f>
        <v>18750</v>
      </c>
      <c r="X53" s="12">
        <f ca="1">X42*Assumptions!$B$31/12</f>
        <v>22500</v>
      </c>
      <c r="Y53" s="12">
        <f ca="1">Y42*Assumptions!$B$31/12</f>
        <v>26250</v>
      </c>
      <c r="Z53" s="12">
        <f ca="1">Z42*Assumptions!$B$31/12</f>
        <v>26250</v>
      </c>
      <c r="AA53" s="12">
        <f ca="1">AA42*Assumptions!$B$31/12</f>
        <v>33750</v>
      </c>
      <c r="AB53" s="12">
        <f ca="1">AB42*Assumptions!$B$31/12</f>
        <v>33750</v>
      </c>
      <c r="AC53" s="12">
        <f ca="1">AC42*Assumptions!$B$31/12</f>
        <v>37500</v>
      </c>
      <c r="AD53" s="12">
        <f ca="1">AD42*Assumptions!$B$31/12</f>
        <v>41250</v>
      </c>
      <c r="AE53" s="12">
        <f ca="1">AE42*Assumptions!$B$31/12</f>
        <v>45000</v>
      </c>
      <c r="AF53" s="12">
        <f ca="1">AF42*Assumptions!$B$31/12</f>
        <v>45000</v>
      </c>
      <c r="AG53" s="12">
        <f ca="1">AG42*Assumptions!$B$31/12</f>
        <v>45000</v>
      </c>
      <c r="AH53" s="12">
        <f ca="1">AH42*Assumptions!$B$31/12</f>
        <v>48750</v>
      </c>
      <c r="AI53" s="12">
        <f ca="1">AI42*Assumptions!$B$31/12</f>
        <v>56250</v>
      </c>
      <c r="AJ53" s="12">
        <f ca="1">AJ42*Assumptions!$B$31/12</f>
        <v>60000</v>
      </c>
      <c r="AK53" s="12">
        <f ca="1">AK42*Assumptions!$B$31/12</f>
        <v>63750</v>
      </c>
      <c r="AL53" s="12">
        <f ca="1">AL42*Assumptions!$B$31/12</f>
        <v>67500</v>
      </c>
    </row>
    <row r="54" spans="1:38" x14ac:dyDescent="0.25">
      <c r="A54" s="2" t="s">
        <v>37</v>
      </c>
      <c r="C54" s="12">
        <f>C43*Assumptions!$B$32/12+C44*Assumptions!$B$34/12</f>
        <v>0</v>
      </c>
      <c r="D54" s="12">
        <f>D43*Assumptions!$B$32/12+D44*Assumptions!$B$34/12</f>
        <v>0</v>
      </c>
      <c r="E54" s="12">
        <f>E43*Assumptions!$B$32/12+E44*Assumptions!$B$34/12</f>
        <v>0</v>
      </c>
      <c r="F54" s="12">
        <f>F43*Assumptions!$B$32/12+F44*Assumptions!$B$34/12</f>
        <v>0</v>
      </c>
      <c r="G54" s="12">
        <f>G43*Assumptions!$B$32/12+G44*Assumptions!$B$34/12</f>
        <v>0</v>
      </c>
      <c r="H54" s="12">
        <f>H43*Assumptions!$B$32/12+H44*Assumptions!$B$34/12</f>
        <v>0</v>
      </c>
      <c r="I54" s="12">
        <f>I43*Assumptions!$B$32/12+I44*Assumptions!$B$34/12</f>
        <v>0</v>
      </c>
      <c r="J54" s="12">
        <f>J43*Assumptions!$B$32/12+J44*Assumptions!$B$34/12</f>
        <v>0</v>
      </c>
      <c r="K54" s="12">
        <f>K43*Assumptions!$B$32/12+K44*Assumptions!$B$34/12</f>
        <v>0</v>
      </c>
      <c r="L54" s="12">
        <f>L43*Assumptions!$B$32/12+L44*Assumptions!$B$34/12</f>
        <v>0</v>
      </c>
      <c r="M54" s="12">
        <f>M43*Assumptions!$B$32/12+M44*Assumptions!$B$34/12</f>
        <v>0</v>
      </c>
      <c r="N54" s="12">
        <f>N43*Assumptions!$B$32/12+N44*Assumptions!$B$34/12</f>
        <v>0</v>
      </c>
      <c r="O54" s="12">
        <f>O43*Assumptions!$B$32/12+O44*Assumptions!$B$34/12</f>
        <v>0</v>
      </c>
      <c r="P54" s="12">
        <f>P43*Assumptions!$B$32/12+P44*Assumptions!$B$34/12</f>
        <v>0</v>
      </c>
      <c r="Q54" s="12">
        <f>Q43*Assumptions!$B$32/12+Q44*Assumptions!$B$34/12</f>
        <v>0</v>
      </c>
      <c r="R54" s="12">
        <f>R43*Assumptions!$B$32/12+R44*Assumptions!$B$34/12</f>
        <v>0</v>
      </c>
      <c r="S54" s="12">
        <f>S43*Assumptions!$B$32/12+S44*Assumptions!$B$34/12</f>
        <v>0</v>
      </c>
      <c r="T54" s="12">
        <f>T43*Assumptions!$B$32/12+T44*Assumptions!$B$34/12</f>
        <v>0</v>
      </c>
      <c r="U54" s="12">
        <f>U43*Assumptions!$B$32/12+U44*Assumptions!$B$34/12</f>
        <v>0</v>
      </c>
      <c r="V54" s="12">
        <f>V43*Assumptions!$B$32/12+V44*Assumptions!$B$34/12</f>
        <v>0</v>
      </c>
      <c r="W54" s="12">
        <f>W43*Assumptions!$B$32/12+W44*Assumptions!$B$34/12</f>
        <v>0</v>
      </c>
      <c r="X54" s="12">
        <f>X43*Assumptions!$B$32/12+X44*Assumptions!$B$34/12</f>
        <v>0</v>
      </c>
      <c r="Y54" s="12">
        <f>Y43*Assumptions!$B$32/12+Y44*Assumptions!$B$34/12</f>
        <v>0</v>
      </c>
      <c r="Z54" s="12">
        <f>Z43*Assumptions!$B$32/12+Z44*Assumptions!$B$34/12</f>
        <v>10000</v>
      </c>
      <c r="AA54" s="12">
        <f>AA43*Assumptions!$B$32/12+AA44*Assumptions!$B$34/12</f>
        <v>10000</v>
      </c>
      <c r="AB54" s="12">
        <f>AB43*Assumptions!$B$32/12+AB44*Assumptions!$B$34/12</f>
        <v>10000</v>
      </c>
      <c r="AC54" s="12">
        <f>AC43*Assumptions!$B$32/12+AC44*Assumptions!$B$34/12</f>
        <v>10000</v>
      </c>
      <c r="AD54" s="12">
        <f>AD43*Assumptions!$B$32/12+AD44*Assumptions!$B$34/12</f>
        <v>10000</v>
      </c>
      <c r="AE54" s="12">
        <f>AE43*Assumptions!$B$32/12+AE44*Assumptions!$B$34/12</f>
        <v>10000</v>
      </c>
      <c r="AF54" s="12">
        <f>AF43*Assumptions!$B$32/12+AF44*Assumptions!$B$34/12</f>
        <v>10000</v>
      </c>
      <c r="AG54" s="12">
        <f>AG43*Assumptions!$B$32/12+AG44*Assumptions!$B$34/12</f>
        <v>10000</v>
      </c>
      <c r="AH54" s="12">
        <f>AH43*Assumptions!$B$32/12+AH44*Assumptions!$B$34/12</f>
        <v>10000</v>
      </c>
      <c r="AI54" s="12">
        <f>AI43*Assumptions!$B$32/12+AI44*Assumptions!$B$34/12</f>
        <v>10000</v>
      </c>
      <c r="AJ54" s="12">
        <f>AJ43*Assumptions!$B$32/12+AJ44*Assumptions!$B$34/12</f>
        <v>10000</v>
      </c>
      <c r="AK54" s="12">
        <f>AK43*Assumptions!$B$32/12+AK44*Assumptions!$B$34/12</f>
        <v>10000</v>
      </c>
      <c r="AL54" s="12">
        <f>AL43*Assumptions!$B$32/12+AL44*Assumptions!$B$34/12</f>
        <v>26666.666666666668</v>
      </c>
    </row>
    <row r="55" spans="1:38" x14ac:dyDescent="0.25">
      <c r="A55" s="3" t="s">
        <v>38</v>
      </c>
      <c r="C55" s="42">
        <f t="shared" ref="C55:AL55" ca="1" si="25">SUM(C50:C54)</f>
        <v>50000</v>
      </c>
      <c r="D55" s="42">
        <f t="shared" ca="1" si="25"/>
        <v>11666.666666666666</v>
      </c>
      <c r="E55" s="42">
        <f t="shared" ca="1" si="25"/>
        <v>-16666.666666666668</v>
      </c>
      <c r="F55" s="42">
        <f t="shared" ca="1" si="25"/>
        <v>3333.3333333333335</v>
      </c>
      <c r="G55" s="42">
        <f t="shared" ca="1" si="25"/>
        <v>15000</v>
      </c>
      <c r="H55" s="42">
        <f t="shared" ca="1" si="25"/>
        <v>15000</v>
      </c>
      <c r="I55" s="42">
        <f t="shared" ca="1" si="25"/>
        <v>-3333.333333333333</v>
      </c>
      <c r="J55" s="42">
        <f t="shared" ca="1" si="25"/>
        <v>18333.333333333336</v>
      </c>
      <c r="K55" s="42">
        <f t="shared" ca="1" si="25"/>
        <v>15833.333333333334</v>
      </c>
      <c r="L55" s="42">
        <f t="shared" ca="1" si="25"/>
        <v>29583.333333333336</v>
      </c>
      <c r="M55" s="42">
        <f t="shared" ca="1" si="25"/>
        <v>19583.333333333336</v>
      </c>
      <c r="N55" s="42">
        <f t="shared" ca="1" si="25"/>
        <v>21250</v>
      </c>
      <c r="O55" s="42">
        <f t="shared" ca="1" si="25"/>
        <v>42916.666666666664</v>
      </c>
      <c r="P55" s="42">
        <f t="shared" ca="1" si="25"/>
        <v>44583.333333333336</v>
      </c>
      <c r="Q55" s="42">
        <f t="shared" ca="1" si="25"/>
        <v>50000</v>
      </c>
      <c r="R55" s="42">
        <f t="shared" ca="1" si="25"/>
        <v>40000</v>
      </c>
      <c r="S55" s="42">
        <f t="shared" ca="1" si="25"/>
        <v>41666.666666666672</v>
      </c>
      <c r="T55" s="42">
        <f t="shared" ca="1" si="25"/>
        <v>48750</v>
      </c>
      <c r="U55" s="42">
        <f t="shared" ca="1" si="25"/>
        <v>50416.666666666672</v>
      </c>
      <c r="V55" s="42">
        <f t="shared" ca="1" si="25"/>
        <v>63750</v>
      </c>
      <c r="W55" s="42">
        <f t="shared" ca="1" si="25"/>
        <v>55416.666666666672</v>
      </c>
      <c r="X55" s="42">
        <f t="shared" ca="1" si="25"/>
        <v>60833.333333333328</v>
      </c>
      <c r="Y55" s="42">
        <f t="shared" ca="1" si="25"/>
        <v>57916.666666666672</v>
      </c>
      <c r="Z55" s="42">
        <f t="shared" ca="1" si="25"/>
        <v>77916.666666666672</v>
      </c>
      <c r="AA55" s="42">
        <f t="shared" ca="1" si="25"/>
        <v>108750</v>
      </c>
      <c r="AB55" s="42">
        <f t="shared" ca="1" si="25"/>
        <v>100416.66666666666</v>
      </c>
      <c r="AC55" s="42">
        <f t="shared" ca="1" si="25"/>
        <v>107500</v>
      </c>
      <c r="AD55" s="42">
        <f t="shared" ca="1" si="25"/>
        <v>104583.33333333334</v>
      </c>
      <c r="AE55" s="42">
        <f t="shared" ca="1" si="25"/>
        <v>130000</v>
      </c>
      <c r="AF55" s="42">
        <f t="shared" ca="1" si="25"/>
        <v>113333.33333333334</v>
      </c>
      <c r="AG55" s="42">
        <f t="shared" ca="1" si="25"/>
        <v>125000</v>
      </c>
      <c r="AH55" s="42">
        <f t="shared" ca="1" si="25"/>
        <v>133750</v>
      </c>
      <c r="AI55" s="42">
        <f t="shared" ca="1" si="25"/>
        <v>132916.66666666666</v>
      </c>
      <c r="AJ55" s="42">
        <f t="shared" ca="1" si="25"/>
        <v>150000</v>
      </c>
      <c r="AK55" s="42">
        <f t="shared" ca="1" si="25"/>
        <v>157083.33333333334</v>
      </c>
      <c r="AL55" s="42">
        <f t="shared" ca="1" si="25"/>
        <v>169166.66666666666</v>
      </c>
    </row>
    <row r="56" spans="1:38" x14ac:dyDescent="0.25">
      <c r="A56" s="2" t="s">
        <v>334</v>
      </c>
      <c r="C56" s="12">
        <f t="shared" ref="C56:AL56" ca="1" si="26">C52+C53+C54</f>
        <v>0</v>
      </c>
      <c r="D56" s="12">
        <f t="shared" ca="1" si="26"/>
        <v>1666.6666666666667</v>
      </c>
      <c r="E56" s="12">
        <f t="shared" ca="1" si="26"/>
        <v>3333.3333333333335</v>
      </c>
      <c r="F56" s="12">
        <f t="shared" ca="1" si="26"/>
        <v>3333.3333333333335</v>
      </c>
      <c r="G56" s="12">
        <f t="shared" ca="1" si="26"/>
        <v>5000</v>
      </c>
      <c r="H56" s="12">
        <f t="shared" ca="1" si="26"/>
        <v>5000</v>
      </c>
      <c r="I56" s="12">
        <f t="shared" ca="1" si="26"/>
        <v>6666.666666666667</v>
      </c>
      <c r="J56" s="12">
        <f t="shared" ca="1" si="26"/>
        <v>8333.3333333333339</v>
      </c>
      <c r="K56" s="12">
        <f t="shared" ca="1" si="26"/>
        <v>15833.333333333334</v>
      </c>
      <c r="L56" s="12">
        <f t="shared" ca="1" si="26"/>
        <v>19583.333333333336</v>
      </c>
      <c r="M56" s="12">
        <f t="shared" ca="1" si="26"/>
        <v>19583.333333333336</v>
      </c>
      <c r="N56" s="12">
        <f t="shared" ca="1" si="26"/>
        <v>21250</v>
      </c>
      <c r="O56" s="12">
        <f t="shared" ca="1" si="26"/>
        <v>22916.666666666664</v>
      </c>
      <c r="P56" s="12">
        <f t="shared" ca="1" si="26"/>
        <v>24583.333333333336</v>
      </c>
      <c r="Q56" s="12">
        <f t="shared" ca="1" si="26"/>
        <v>30000</v>
      </c>
      <c r="R56" s="12">
        <f t="shared" ca="1" si="26"/>
        <v>30000</v>
      </c>
      <c r="S56" s="12">
        <f t="shared" ca="1" si="26"/>
        <v>31666.666666666668</v>
      </c>
      <c r="T56" s="12">
        <f t="shared" ca="1" si="26"/>
        <v>38750</v>
      </c>
      <c r="U56" s="12">
        <f t="shared" ca="1" si="26"/>
        <v>40416.666666666672</v>
      </c>
      <c r="V56" s="12">
        <f t="shared" ca="1" si="26"/>
        <v>43750</v>
      </c>
      <c r="W56" s="12">
        <f t="shared" ca="1" si="26"/>
        <v>45416.666666666672</v>
      </c>
      <c r="X56" s="12">
        <f t="shared" ca="1" si="26"/>
        <v>50833.333333333328</v>
      </c>
      <c r="Y56" s="12">
        <f t="shared" ca="1" si="26"/>
        <v>57916.666666666672</v>
      </c>
      <c r="Z56" s="12">
        <f t="shared" ca="1" si="26"/>
        <v>67916.666666666672</v>
      </c>
      <c r="AA56" s="12">
        <f t="shared" ca="1" si="26"/>
        <v>78750</v>
      </c>
      <c r="AB56" s="12">
        <f t="shared" ca="1" si="26"/>
        <v>80416.666666666657</v>
      </c>
      <c r="AC56" s="12">
        <f t="shared" ca="1" si="26"/>
        <v>87500</v>
      </c>
      <c r="AD56" s="12">
        <f t="shared" ca="1" si="26"/>
        <v>94583.333333333343</v>
      </c>
      <c r="AE56" s="12">
        <f t="shared" ca="1" si="26"/>
        <v>100000</v>
      </c>
      <c r="AF56" s="12">
        <f t="shared" ca="1" si="26"/>
        <v>103333.33333333334</v>
      </c>
      <c r="AG56" s="12">
        <f t="shared" ca="1" si="26"/>
        <v>105000</v>
      </c>
      <c r="AH56" s="12">
        <f t="shared" ca="1" si="26"/>
        <v>113750</v>
      </c>
      <c r="AI56" s="12">
        <f t="shared" ca="1" si="26"/>
        <v>122916.66666666666</v>
      </c>
      <c r="AJ56" s="12">
        <f t="shared" ca="1" si="26"/>
        <v>130000</v>
      </c>
      <c r="AK56" s="12">
        <f t="shared" ca="1" si="26"/>
        <v>137083.33333333334</v>
      </c>
      <c r="AL56" s="12">
        <f t="shared" ca="1" si="26"/>
        <v>159166.66666666666</v>
      </c>
    </row>
    <row r="57" spans="1:38" x14ac:dyDescent="0.25">
      <c r="A57" s="3" t="s">
        <v>335</v>
      </c>
      <c r="C57" s="42">
        <f t="shared" ref="C57:AL57" ca="1" si="27">C56*12</f>
        <v>0</v>
      </c>
      <c r="D57" s="42">
        <f t="shared" ca="1" si="27"/>
        <v>20000</v>
      </c>
      <c r="E57" s="42">
        <f t="shared" ca="1" si="27"/>
        <v>40000</v>
      </c>
      <c r="F57" s="42">
        <f t="shared" ca="1" si="27"/>
        <v>40000</v>
      </c>
      <c r="G57" s="42">
        <f t="shared" ca="1" si="27"/>
        <v>60000</v>
      </c>
      <c r="H57" s="42">
        <f t="shared" ca="1" si="27"/>
        <v>60000</v>
      </c>
      <c r="I57" s="42">
        <f t="shared" ca="1" si="27"/>
        <v>80000</v>
      </c>
      <c r="J57" s="42">
        <f t="shared" ca="1" si="27"/>
        <v>100000</v>
      </c>
      <c r="K57" s="42">
        <f t="shared" ca="1" si="27"/>
        <v>190000</v>
      </c>
      <c r="L57" s="42">
        <f t="shared" ca="1" si="27"/>
        <v>235000.00000000003</v>
      </c>
      <c r="M57" s="42">
        <f t="shared" ca="1" si="27"/>
        <v>235000.00000000003</v>
      </c>
      <c r="N57" s="42">
        <f t="shared" ca="1" si="27"/>
        <v>255000</v>
      </c>
      <c r="O57" s="42">
        <f t="shared" ca="1" si="27"/>
        <v>275000</v>
      </c>
      <c r="P57" s="42">
        <f t="shared" ca="1" si="27"/>
        <v>295000</v>
      </c>
      <c r="Q57" s="42">
        <f t="shared" ca="1" si="27"/>
        <v>360000</v>
      </c>
      <c r="R57" s="42">
        <f t="shared" ca="1" si="27"/>
        <v>360000</v>
      </c>
      <c r="S57" s="42">
        <f t="shared" ca="1" si="27"/>
        <v>380000</v>
      </c>
      <c r="T57" s="42">
        <f t="shared" ca="1" si="27"/>
        <v>465000</v>
      </c>
      <c r="U57" s="42">
        <f t="shared" ca="1" si="27"/>
        <v>485000.00000000006</v>
      </c>
      <c r="V57" s="42">
        <f t="shared" ca="1" si="27"/>
        <v>525000</v>
      </c>
      <c r="W57" s="42">
        <f t="shared" ca="1" si="27"/>
        <v>545000</v>
      </c>
      <c r="X57" s="42">
        <f t="shared" ca="1" si="27"/>
        <v>610000</v>
      </c>
      <c r="Y57" s="42">
        <f t="shared" ca="1" si="27"/>
        <v>695000</v>
      </c>
      <c r="Z57" s="42">
        <f t="shared" ca="1" si="27"/>
        <v>815000</v>
      </c>
      <c r="AA57" s="42">
        <f t="shared" ca="1" si="27"/>
        <v>945000</v>
      </c>
      <c r="AB57" s="42">
        <f t="shared" ca="1" si="27"/>
        <v>964999.99999999988</v>
      </c>
      <c r="AC57" s="42">
        <f t="shared" ca="1" si="27"/>
        <v>1050000</v>
      </c>
      <c r="AD57" s="42">
        <f t="shared" ca="1" si="27"/>
        <v>1135000</v>
      </c>
      <c r="AE57" s="42">
        <f t="shared" ca="1" si="27"/>
        <v>1200000</v>
      </c>
      <c r="AF57" s="42">
        <f t="shared" ca="1" si="27"/>
        <v>1240000</v>
      </c>
      <c r="AG57" s="42">
        <f t="shared" ca="1" si="27"/>
        <v>1260000</v>
      </c>
      <c r="AH57" s="42">
        <f t="shared" ca="1" si="27"/>
        <v>1365000</v>
      </c>
      <c r="AI57" s="42">
        <f t="shared" ca="1" si="27"/>
        <v>1475000</v>
      </c>
      <c r="AJ57" s="42">
        <f t="shared" ca="1" si="27"/>
        <v>1560000</v>
      </c>
      <c r="AK57" s="42">
        <f t="shared" ca="1" si="27"/>
        <v>1645000</v>
      </c>
      <c r="AL57" s="42">
        <f t="shared" ca="1" si="27"/>
        <v>1910000</v>
      </c>
    </row>
    <row r="59" spans="1:38" x14ac:dyDescent="0.25">
      <c r="A59" s="5" t="s">
        <v>336</v>
      </c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</row>
    <row r="60" spans="1:38" x14ac:dyDescent="0.25">
      <c r="A60" s="2" t="s">
        <v>337</v>
      </c>
      <c r="C60" s="12">
        <f>IF(C6&gt;=Assumptions!$B$48,Assumptions!$B$45*Assumptions!$B$44/12+Assumptions!$B$47*Assumptions!$B$46/12,0)</f>
        <v>23333.333333333332</v>
      </c>
      <c r="D60" s="12">
        <f>IF(D6&gt;=Assumptions!$B$48,Assumptions!$B$45*Assumptions!$B$44/12+Assumptions!$B$47*Assumptions!$B$46/12,0)</f>
        <v>23333.333333333332</v>
      </c>
      <c r="E60" s="12">
        <f>IF(E6&gt;=Assumptions!$B$48,Assumptions!$B$45*Assumptions!$B$44/12+Assumptions!$B$47*Assumptions!$B$46/12,0)</f>
        <v>23333.333333333332</v>
      </c>
      <c r="F60" s="12">
        <f>IF(F6&gt;=Assumptions!$B$48,Assumptions!$B$45*Assumptions!$B$44/12+Assumptions!$B$47*Assumptions!$B$46/12,0)</f>
        <v>23333.333333333332</v>
      </c>
      <c r="G60" s="12">
        <f>IF(G6&gt;=Assumptions!$B$48,Assumptions!$B$45*Assumptions!$B$44/12+Assumptions!$B$47*Assumptions!$B$46/12,0)</f>
        <v>23333.333333333332</v>
      </c>
      <c r="H60" s="12">
        <f>IF(H6&gt;=Assumptions!$B$48,Assumptions!$B$45*Assumptions!$B$44/12+Assumptions!$B$47*Assumptions!$B$46/12,0)</f>
        <v>23333.333333333332</v>
      </c>
      <c r="I60" s="12">
        <f>IF(I6&gt;=Assumptions!$B$48,Assumptions!$B$45*Assumptions!$B$44/12+Assumptions!$B$47*Assumptions!$B$46/12,0)</f>
        <v>23333.333333333332</v>
      </c>
      <c r="J60" s="12">
        <f>IF(J6&gt;=Assumptions!$B$48,Assumptions!$B$45*Assumptions!$B$44/12+Assumptions!$B$47*Assumptions!$B$46/12,0)</f>
        <v>23333.333333333332</v>
      </c>
      <c r="K60" s="12">
        <f>IF(K6&gt;=Assumptions!$B$48,Assumptions!$B$45*Assumptions!$B$44/12+Assumptions!$B$47*Assumptions!$B$46/12,0)</f>
        <v>23333.333333333332</v>
      </c>
      <c r="L60" s="12">
        <f>IF(L6&gt;=Assumptions!$B$48,Assumptions!$B$45*Assumptions!$B$44/12+Assumptions!$B$47*Assumptions!$B$46/12,0)</f>
        <v>23333.333333333332</v>
      </c>
      <c r="M60" s="12">
        <f>IF(M6&gt;=Assumptions!$B$48,Assumptions!$B$45*Assumptions!$B$44/12+Assumptions!$B$47*Assumptions!$B$46/12,0)</f>
        <v>23333.333333333332</v>
      </c>
      <c r="N60" s="12">
        <f>IF(N6&gt;=Assumptions!$B$48,Assumptions!$B$45*Assumptions!$B$44/12+Assumptions!$B$47*Assumptions!$B$46/12,0)</f>
        <v>23333.333333333332</v>
      </c>
      <c r="O60" s="12">
        <f>IF(O6&gt;=Assumptions!$B$48,Assumptions!$B$45*Assumptions!$B$44/12+Assumptions!$B$47*Assumptions!$B$46/12,0)</f>
        <v>23333.333333333332</v>
      </c>
      <c r="P60" s="12">
        <f>IF(P6&gt;=Assumptions!$B$48,Assumptions!$B$45*Assumptions!$B$44/12+Assumptions!$B$47*Assumptions!$B$46/12,0)</f>
        <v>23333.333333333332</v>
      </c>
      <c r="Q60" s="12">
        <f>IF(Q6&gt;=Assumptions!$B$48,Assumptions!$B$45*Assumptions!$B$44/12+Assumptions!$B$47*Assumptions!$B$46/12,0)</f>
        <v>23333.333333333332</v>
      </c>
      <c r="R60" s="12">
        <f>IF(R6&gt;=Assumptions!$B$48,Assumptions!$B$45*Assumptions!$B$44/12+Assumptions!$B$47*Assumptions!$B$46/12,0)</f>
        <v>23333.333333333332</v>
      </c>
      <c r="S60" s="12">
        <f>IF(S6&gt;=Assumptions!$B$48,Assumptions!$B$45*Assumptions!$B$44/12+Assumptions!$B$47*Assumptions!$B$46/12,0)</f>
        <v>23333.333333333332</v>
      </c>
      <c r="T60" s="12">
        <f>IF(T6&gt;=Assumptions!$B$48,Assumptions!$B$45*Assumptions!$B$44/12+Assumptions!$B$47*Assumptions!$B$46/12,0)</f>
        <v>23333.333333333332</v>
      </c>
      <c r="U60" s="12">
        <f>IF(U6&gt;=Assumptions!$B$48,Assumptions!$B$45*Assumptions!$B$44/12+Assumptions!$B$47*Assumptions!$B$46/12,0)</f>
        <v>23333.333333333332</v>
      </c>
      <c r="V60" s="12">
        <f>IF(V6&gt;=Assumptions!$B$48,Assumptions!$B$45*Assumptions!$B$44/12+Assumptions!$B$47*Assumptions!$B$46/12,0)</f>
        <v>23333.333333333332</v>
      </c>
      <c r="W60" s="12">
        <f>IF(W6&gt;=Assumptions!$B$48,Assumptions!$B$45*Assumptions!$B$44/12+Assumptions!$B$47*Assumptions!$B$46/12,0)</f>
        <v>23333.333333333332</v>
      </c>
      <c r="X60" s="12">
        <f>IF(X6&gt;=Assumptions!$B$48,Assumptions!$B$45*Assumptions!$B$44/12+Assumptions!$B$47*Assumptions!$B$46/12,0)</f>
        <v>23333.333333333332</v>
      </c>
      <c r="Y60" s="12">
        <f>IF(Y6&gt;=Assumptions!$B$48,Assumptions!$B$45*Assumptions!$B$44/12+Assumptions!$B$47*Assumptions!$B$46/12,0)</f>
        <v>23333.333333333332</v>
      </c>
      <c r="Z60" s="12">
        <f>IF(Z6&gt;=Assumptions!$B$48,Assumptions!$B$45*Assumptions!$B$44/12+Assumptions!$B$47*Assumptions!$B$46/12,0)</f>
        <v>23333.333333333332</v>
      </c>
      <c r="AA60" s="12">
        <f>IF(AA6&gt;=Assumptions!$B$48,Assumptions!$B$45*Assumptions!$B$44/12+Assumptions!$B$47*Assumptions!$B$46/12,0)</f>
        <v>23333.333333333332</v>
      </c>
      <c r="AB60" s="12">
        <f>IF(AB6&gt;=Assumptions!$B$48,Assumptions!$B$45*Assumptions!$B$44/12+Assumptions!$B$47*Assumptions!$B$46/12,0)</f>
        <v>23333.333333333332</v>
      </c>
      <c r="AC60" s="12">
        <f>IF(AC6&gt;=Assumptions!$B$48,Assumptions!$B$45*Assumptions!$B$44/12+Assumptions!$B$47*Assumptions!$B$46/12,0)</f>
        <v>23333.333333333332</v>
      </c>
      <c r="AD60" s="12">
        <f>IF(AD6&gt;=Assumptions!$B$48,Assumptions!$B$45*Assumptions!$B$44/12+Assumptions!$B$47*Assumptions!$B$46/12,0)</f>
        <v>23333.333333333332</v>
      </c>
      <c r="AE60" s="12">
        <f>IF(AE6&gt;=Assumptions!$B$48,Assumptions!$B$45*Assumptions!$B$44/12+Assumptions!$B$47*Assumptions!$B$46/12,0)</f>
        <v>23333.333333333332</v>
      </c>
      <c r="AF60" s="12">
        <f>IF(AF6&gt;=Assumptions!$B$48,Assumptions!$B$45*Assumptions!$B$44/12+Assumptions!$B$47*Assumptions!$B$46/12,0)</f>
        <v>23333.333333333332</v>
      </c>
      <c r="AG60" s="12">
        <f>IF(AG6&gt;=Assumptions!$B$48,Assumptions!$B$45*Assumptions!$B$44/12+Assumptions!$B$47*Assumptions!$B$46/12,0)</f>
        <v>23333.333333333332</v>
      </c>
      <c r="AH60" s="12">
        <f>IF(AH6&gt;=Assumptions!$B$48,Assumptions!$B$45*Assumptions!$B$44/12+Assumptions!$B$47*Assumptions!$B$46/12,0)</f>
        <v>23333.333333333332</v>
      </c>
      <c r="AI60" s="12">
        <f>IF(AI6&gt;=Assumptions!$B$48,Assumptions!$B$45*Assumptions!$B$44/12+Assumptions!$B$47*Assumptions!$B$46/12,0)</f>
        <v>23333.333333333332</v>
      </c>
      <c r="AJ60" s="12">
        <f>IF(AJ6&gt;=Assumptions!$B$48,Assumptions!$B$45*Assumptions!$B$44/12+Assumptions!$B$47*Assumptions!$B$46/12,0)</f>
        <v>23333.333333333332</v>
      </c>
      <c r="AK60" s="12">
        <f>IF(AK6&gt;=Assumptions!$B$48,Assumptions!$B$45*Assumptions!$B$44/12+Assumptions!$B$47*Assumptions!$B$46/12,0)</f>
        <v>23333.333333333332</v>
      </c>
      <c r="AL60" s="12">
        <f>IF(AL6&gt;=Assumptions!$B$48,Assumptions!$B$45*Assumptions!$B$44/12+Assumptions!$B$47*Assumptions!$B$46/12,0)</f>
        <v>23333.333333333332</v>
      </c>
    </row>
    <row r="61" spans="1:38" x14ac:dyDescent="0.25">
      <c r="A61" s="2" t="s">
        <v>338</v>
      </c>
      <c r="C61" s="12">
        <f>IF(C6=Assumptions!$B$48,Assumptions!$B$49,0)</f>
        <v>0</v>
      </c>
      <c r="D61" s="12">
        <f>IF(D6=Assumptions!$B$48,Assumptions!$B$49,0)</f>
        <v>0</v>
      </c>
      <c r="E61" s="12">
        <f>IF(E6=Assumptions!$B$48,Assumptions!$B$49,0)</f>
        <v>0</v>
      </c>
      <c r="F61" s="12">
        <f>IF(F6=Assumptions!$B$48,Assumptions!$B$49,0)</f>
        <v>0</v>
      </c>
      <c r="G61" s="12">
        <f>IF(G6=Assumptions!$B$48,Assumptions!$B$49,0)</f>
        <v>0</v>
      </c>
      <c r="H61" s="12">
        <f>IF(H6=Assumptions!$B$48,Assumptions!$B$49,0)</f>
        <v>0</v>
      </c>
      <c r="I61" s="12">
        <f>IF(I6=Assumptions!$B$48,Assumptions!$B$49,0)</f>
        <v>0</v>
      </c>
      <c r="J61" s="12">
        <f>IF(J6=Assumptions!$B$48,Assumptions!$B$49,0)</f>
        <v>0</v>
      </c>
      <c r="K61" s="12">
        <f>IF(K6=Assumptions!$B$48,Assumptions!$B$49,0)</f>
        <v>0</v>
      </c>
      <c r="L61" s="12">
        <f>IF(L6=Assumptions!$B$48,Assumptions!$B$49,0)</f>
        <v>0</v>
      </c>
      <c r="M61" s="12">
        <f>IF(M6=Assumptions!$B$48,Assumptions!$B$49,0)</f>
        <v>0</v>
      </c>
      <c r="N61" s="12">
        <f>IF(N6=Assumptions!$B$48,Assumptions!$B$49,0)</f>
        <v>0</v>
      </c>
      <c r="O61" s="12">
        <f>IF(O6=Assumptions!$B$48,Assumptions!$B$49,0)</f>
        <v>0</v>
      </c>
      <c r="P61" s="12">
        <f>IF(P6=Assumptions!$B$48,Assumptions!$B$49,0)</f>
        <v>0</v>
      </c>
      <c r="Q61" s="12">
        <f>IF(Q6=Assumptions!$B$48,Assumptions!$B$49,0)</f>
        <v>0</v>
      </c>
      <c r="R61" s="12">
        <f>IF(R6=Assumptions!$B$48,Assumptions!$B$49,0)</f>
        <v>0</v>
      </c>
      <c r="S61" s="12">
        <f>IF(S6=Assumptions!$B$48,Assumptions!$B$49,0)</f>
        <v>0</v>
      </c>
      <c r="T61" s="12">
        <f>IF(T6=Assumptions!$B$48,Assumptions!$B$49,0)</f>
        <v>0</v>
      </c>
      <c r="U61" s="12">
        <f>IF(U6=Assumptions!$B$48,Assumptions!$B$49,0)</f>
        <v>0</v>
      </c>
      <c r="V61" s="12">
        <f>IF(V6=Assumptions!$B$48,Assumptions!$B$49,0)</f>
        <v>0</v>
      </c>
      <c r="W61" s="12">
        <f>IF(W6=Assumptions!$B$48,Assumptions!$B$49,0)</f>
        <v>0</v>
      </c>
      <c r="X61" s="12">
        <f>IF(X6=Assumptions!$B$48,Assumptions!$B$49,0)</f>
        <v>0</v>
      </c>
      <c r="Y61" s="12">
        <f>IF(Y6=Assumptions!$B$48,Assumptions!$B$49,0)</f>
        <v>0</v>
      </c>
      <c r="Z61" s="12">
        <f>IF(Z6=Assumptions!$B$48,Assumptions!$B$49,0)</f>
        <v>0</v>
      </c>
      <c r="AA61" s="12">
        <f>IF(AA6=Assumptions!$B$48,Assumptions!$B$49,0)</f>
        <v>0</v>
      </c>
      <c r="AB61" s="12">
        <f>IF(AB6=Assumptions!$B$48,Assumptions!$B$49,0)</f>
        <v>0</v>
      </c>
      <c r="AC61" s="12">
        <f>IF(AC6=Assumptions!$B$48,Assumptions!$B$49,0)</f>
        <v>0</v>
      </c>
      <c r="AD61" s="12">
        <f>IF(AD6=Assumptions!$B$48,Assumptions!$B$49,0)</f>
        <v>0</v>
      </c>
      <c r="AE61" s="12">
        <f>IF(AE6=Assumptions!$B$48,Assumptions!$B$49,0)</f>
        <v>0</v>
      </c>
      <c r="AF61" s="12">
        <f>IF(AF6=Assumptions!$B$48,Assumptions!$B$49,0)</f>
        <v>0</v>
      </c>
      <c r="AG61" s="12">
        <f>IF(AG6=Assumptions!$B$48,Assumptions!$B$49,0)</f>
        <v>0</v>
      </c>
      <c r="AH61" s="12">
        <f>IF(AH6=Assumptions!$B$48,Assumptions!$B$49,0)</f>
        <v>0</v>
      </c>
      <c r="AI61" s="12">
        <f>IF(AI6=Assumptions!$B$48,Assumptions!$B$49,0)</f>
        <v>0</v>
      </c>
      <c r="AJ61" s="12">
        <f>IF(AJ6=Assumptions!$B$48,Assumptions!$B$49,0)</f>
        <v>0</v>
      </c>
      <c r="AK61" s="12">
        <f>IF(AK6=Assumptions!$B$48,Assumptions!$B$49,0)</f>
        <v>0</v>
      </c>
      <c r="AL61" s="12">
        <f>IF(AL6=Assumptions!$B$48,Assumptions!$B$49,0)</f>
        <v>0</v>
      </c>
    </row>
    <row r="62" spans="1:38" x14ac:dyDescent="0.25">
      <c r="A62" s="2" t="s">
        <v>339</v>
      </c>
      <c r="C62" s="38">
        <f>IF(C6&lt;Assumptions!$B$50,0,MAX(1,ROUNDUP(MAX(0,C12-Assumptions!$B$51)/Assumptions!$B$52,0)))</f>
        <v>0</v>
      </c>
      <c r="D62" s="38">
        <f>IF(D6&lt;Assumptions!$B$50,0,MAX(1,ROUNDUP(MAX(0,D12-Assumptions!$B$51)/Assumptions!$B$52,0)))</f>
        <v>0</v>
      </c>
      <c r="E62" s="38">
        <f>IF(E6&lt;Assumptions!$B$50,0,MAX(1,ROUNDUP(MAX(0,E12-Assumptions!$B$51)/Assumptions!$B$52,0)))</f>
        <v>0</v>
      </c>
      <c r="F62" s="38">
        <f>IF(F6&lt;Assumptions!$B$50,0,MAX(1,ROUNDUP(MAX(0,F12-Assumptions!$B$51)/Assumptions!$B$52,0)))</f>
        <v>0</v>
      </c>
      <c r="G62" s="38">
        <f>IF(G6&lt;Assumptions!$B$50,0,MAX(1,ROUNDUP(MAX(0,G12-Assumptions!$B$51)/Assumptions!$B$52,0)))</f>
        <v>0</v>
      </c>
      <c r="H62" s="38">
        <f>IF(H6&lt;Assumptions!$B$50,0,MAX(1,ROUNDUP(MAX(0,H12-Assumptions!$B$51)/Assumptions!$B$52,0)))</f>
        <v>0</v>
      </c>
      <c r="I62" s="38">
        <f>IF(I6&lt;Assumptions!$B$50,0,MAX(1,ROUNDUP(MAX(0,I12-Assumptions!$B$51)/Assumptions!$B$52,0)))</f>
        <v>0</v>
      </c>
      <c r="J62" s="38">
        <f>IF(J6&lt;Assumptions!$B$50,0,MAX(1,ROUNDUP(MAX(0,J12-Assumptions!$B$51)/Assumptions!$B$52,0)))</f>
        <v>0</v>
      </c>
      <c r="K62" s="38">
        <f>IF(K6&lt;Assumptions!$B$50,0,MAX(1,ROUNDUP(MAX(0,K12-Assumptions!$B$51)/Assumptions!$B$52,0)))</f>
        <v>1</v>
      </c>
      <c r="L62" s="38">
        <f>IF(L6&lt;Assumptions!$B$50,0,MAX(1,ROUNDUP(MAX(0,L12-Assumptions!$B$51)/Assumptions!$B$52,0)))</f>
        <v>1</v>
      </c>
      <c r="M62" s="38">
        <f>IF(M6&lt;Assumptions!$B$50,0,MAX(1,ROUNDUP(MAX(0,M12-Assumptions!$B$51)/Assumptions!$B$52,0)))</f>
        <v>1</v>
      </c>
      <c r="N62" s="38">
        <f>IF(N6&lt;Assumptions!$B$50,0,MAX(1,ROUNDUP(MAX(0,N12-Assumptions!$B$51)/Assumptions!$B$52,0)))</f>
        <v>1</v>
      </c>
      <c r="O62" s="38">
        <f>IF(O6&lt;Assumptions!$B$50,0,MAX(1,ROUNDUP(MAX(0,O12-Assumptions!$B$51)/Assumptions!$B$52,0)))</f>
        <v>2</v>
      </c>
      <c r="P62" s="38">
        <f>IF(P6&lt;Assumptions!$B$50,0,MAX(1,ROUNDUP(MAX(0,P12-Assumptions!$B$51)/Assumptions!$B$52,0)))</f>
        <v>2</v>
      </c>
      <c r="Q62" s="38">
        <f>IF(Q6&lt;Assumptions!$B$50,0,MAX(1,ROUNDUP(MAX(0,Q12-Assumptions!$B$51)/Assumptions!$B$52,0)))</f>
        <v>2</v>
      </c>
      <c r="R62" s="38">
        <f>IF(R6&lt;Assumptions!$B$50,0,MAX(1,ROUNDUP(MAX(0,R12-Assumptions!$B$51)/Assumptions!$B$52,0)))</f>
        <v>2</v>
      </c>
      <c r="S62" s="38">
        <f>IF(S6&lt;Assumptions!$B$50,0,MAX(1,ROUNDUP(MAX(0,S12-Assumptions!$B$51)/Assumptions!$B$52,0)))</f>
        <v>2</v>
      </c>
      <c r="T62" s="38">
        <f>IF(T6&lt;Assumptions!$B$50,0,MAX(1,ROUNDUP(MAX(0,T12-Assumptions!$B$51)/Assumptions!$B$52,0)))</f>
        <v>2</v>
      </c>
      <c r="U62" s="38">
        <f>IF(U6&lt;Assumptions!$B$50,0,MAX(1,ROUNDUP(MAX(0,U12-Assumptions!$B$51)/Assumptions!$B$52,0)))</f>
        <v>2</v>
      </c>
      <c r="V62" s="38">
        <f>IF(V6&lt;Assumptions!$B$50,0,MAX(1,ROUNDUP(MAX(0,V12-Assumptions!$B$51)/Assumptions!$B$52,0)))</f>
        <v>2</v>
      </c>
      <c r="W62" s="38">
        <f>IF(W6&lt;Assumptions!$B$50,0,MAX(1,ROUNDUP(MAX(0,W12-Assumptions!$B$51)/Assumptions!$B$52,0)))</f>
        <v>2</v>
      </c>
      <c r="X62" s="38">
        <f>IF(X6&lt;Assumptions!$B$50,0,MAX(1,ROUNDUP(MAX(0,X12-Assumptions!$B$51)/Assumptions!$B$52,0)))</f>
        <v>2</v>
      </c>
      <c r="Y62" s="38">
        <f>IF(Y6&lt;Assumptions!$B$50,0,MAX(1,ROUNDUP(MAX(0,Y12-Assumptions!$B$51)/Assumptions!$B$52,0)))</f>
        <v>2</v>
      </c>
      <c r="Z62" s="38">
        <f>IF(Z6&lt;Assumptions!$B$50,0,MAX(1,ROUNDUP(MAX(0,Z12-Assumptions!$B$51)/Assumptions!$B$52,0)))</f>
        <v>2</v>
      </c>
      <c r="AA62" s="38">
        <f>IF(AA6&lt;Assumptions!$B$50,0,MAX(1,ROUNDUP(MAX(0,AA12-Assumptions!$B$51)/Assumptions!$B$52,0)))</f>
        <v>3</v>
      </c>
      <c r="AB62" s="38">
        <f>IF(AB6&lt;Assumptions!$B$50,0,MAX(1,ROUNDUP(MAX(0,AB12-Assumptions!$B$51)/Assumptions!$B$52,0)))</f>
        <v>3</v>
      </c>
      <c r="AC62" s="38">
        <f>IF(AC6&lt;Assumptions!$B$50,0,MAX(1,ROUNDUP(MAX(0,AC12-Assumptions!$B$51)/Assumptions!$B$52,0)))</f>
        <v>3</v>
      </c>
      <c r="AD62" s="38">
        <f>IF(AD6&lt;Assumptions!$B$50,0,MAX(1,ROUNDUP(MAX(0,AD12-Assumptions!$B$51)/Assumptions!$B$52,0)))</f>
        <v>3</v>
      </c>
      <c r="AE62" s="38">
        <f>IF(AE6&lt;Assumptions!$B$50,0,MAX(1,ROUNDUP(MAX(0,AE12-Assumptions!$B$51)/Assumptions!$B$52,0)))</f>
        <v>3</v>
      </c>
      <c r="AF62" s="38">
        <f>IF(AF6&lt;Assumptions!$B$50,0,MAX(1,ROUNDUP(MAX(0,AF12-Assumptions!$B$51)/Assumptions!$B$52,0)))</f>
        <v>3</v>
      </c>
      <c r="AG62" s="38">
        <f>IF(AG6&lt;Assumptions!$B$50,0,MAX(1,ROUNDUP(MAX(0,AG12-Assumptions!$B$51)/Assumptions!$B$52,0)))</f>
        <v>3</v>
      </c>
      <c r="AH62" s="38">
        <f>IF(AH6&lt;Assumptions!$B$50,0,MAX(1,ROUNDUP(MAX(0,AH12-Assumptions!$B$51)/Assumptions!$B$52,0)))</f>
        <v>3</v>
      </c>
      <c r="AI62" s="38">
        <f>IF(AI6&lt;Assumptions!$B$50,0,MAX(1,ROUNDUP(MAX(0,AI12-Assumptions!$B$51)/Assumptions!$B$52,0)))</f>
        <v>3</v>
      </c>
      <c r="AJ62" s="38">
        <f>IF(AJ6&lt;Assumptions!$B$50,0,MAX(1,ROUNDUP(MAX(0,AJ12-Assumptions!$B$51)/Assumptions!$B$52,0)))</f>
        <v>3</v>
      </c>
      <c r="AK62" s="38">
        <f>IF(AK6&lt;Assumptions!$B$50,0,MAX(1,ROUNDUP(MAX(0,AK12-Assumptions!$B$51)/Assumptions!$B$52,0)))</f>
        <v>3</v>
      </c>
      <c r="AL62" s="38">
        <f>IF(AL6&lt;Assumptions!$B$50,0,MAX(1,ROUNDUP(MAX(0,AL12-Assumptions!$B$51)/Assumptions!$B$52,0)))</f>
        <v>3</v>
      </c>
    </row>
    <row r="63" spans="1:38" x14ac:dyDescent="0.25">
      <c r="A63" s="2" t="s">
        <v>340</v>
      </c>
      <c r="C63" s="15">
        <f>Assumptions!$B$51+C62*Assumptions!$B$52-C12</f>
        <v>2</v>
      </c>
      <c r="D63" s="15">
        <f>Assumptions!$B$51+D62*Assumptions!$B$52-D12</f>
        <v>3</v>
      </c>
      <c r="E63" s="15">
        <f>Assumptions!$B$51+E62*Assumptions!$B$52-E12</f>
        <v>2</v>
      </c>
      <c r="F63" s="15">
        <f>Assumptions!$B$51+F62*Assumptions!$B$52-F12</f>
        <v>3</v>
      </c>
      <c r="G63" s="15">
        <f>Assumptions!$B$51+G62*Assumptions!$B$52-G12</f>
        <v>2</v>
      </c>
      <c r="H63" s="15">
        <f>Assumptions!$B$51+H62*Assumptions!$B$52-H12</f>
        <v>3</v>
      </c>
      <c r="I63" s="15">
        <f>Assumptions!$B$51+I62*Assumptions!$B$52-I12</f>
        <v>2</v>
      </c>
      <c r="J63" s="15">
        <f>Assumptions!$B$51+J62*Assumptions!$B$52-J12</f>
        <v>3</v>
      </c>
      <c r="K63" s="15">
        <f>Assumptions!$B$51+K62*Assumptions!$B$52-K12</f>
        <v>17</v>
      </c>
      <c r="L63" s="15">
        <f>Assumptions!$B$51+L62*Assumptions!$B$52-L12</f>
        <v>18</v>
      </c>
      <c r="M63" s="15">
        <f>Assumptions!$B$51+M62*Assumptions!$B$52-M12</f>
        <v>17</v>
      </c>
      <c r="N63" s="15">
        <f>Assumptions!$B$51+N62*Assumptions!$B$52-N12</f>
        <v>18</v>
      </c>
      <c r="O63" s="15">
        <f>Assumptions!$B$51+O62*Assumptions!$B$52-O12</f>
        <v>9</v>
      </c>
      <c r="P63" s="15">
        <f>Assumptions!$B$51+P62*Assumptions!$B$52-P12</f>
        <v>8</v>
      </c>
      <c r="Q63" s="15">
        <f>Assumptions!$B$51+Q62*Assumptions!$B$52-Q12</f>
        <v>9</v>
      </c>
      <c r="R63" s="15">
        <f>Assumptions!$B$51+R62*Assumptions!$B$52-R12</f>
        <v>8</v>
      </c>
      <c r="S63" s="15">
        <f>Assumptions!$B$51+S62*Assumptions!$B$52-S12</f>
        <v>9</v>
      </c>
      <c r="T63" s="15">
        <f>Assumptions!$B$51+T62*Assumptions!$B$52-T12</f>
        <v>8</v>
      </c>
      <c r="U63" s="15">
        <f>Assumptions!$B$51+U62*Assumptions!$B$52-U12</f>
        <v>9</v>
      </c>
      <c r="V63" s="15">
        <f>Assumptions!$B$51+V62*Assumptions!$B$52-V12</f>
        <v>8</v>
      </c>
      <c r="W63" s="15">
        <f>Assumptions!$B$51+W62*Assumptions!$B$52-W12</f>
        <v>9</v>
      </c>
      <c r="X63" s="15">
        <f>Assumptions!$B$51+X62*Assumptions!$B$52-X12</f>
        <v>8</v>
      </c>
      <c r="Y63" s="15">
        <f>Assumptions!$B$51+Y62*Assumptions!$B$52-Y12</f>
        <v>9</v>
      </c>
      <c r="Z63" s="15">
        <f>Assumptions!$B$51+Z62*Assumptions!$B$52-Z12</f>
        <v>8</v>
      </c>
      <c r="AA63" s="15">
        <f>Assumptions!$B$51+AA62*Assumptions!$B$52-AA12</f>
        <v>5</v>
      </c>
      <c r="AB63" s="15">
        <f>Assumptions!$B$51+AB62*Assumptions!$B$52-AB12</f>
        <v>5</v>
      </c>
      <c r="AC63" s="15">
        <f>Assumptions!$B$51+AC62*Assumptions!$B$52-AC12</f>
        <v>5</v>
      </c>
      <c r="AD63" s="15">
        <f>Assumptions!$B$51+AD62*Assumptions!$B$52-AD12</f>
        <v>5</v>
      </c>
      <c r="AE63" s="15">
        <f>Assumptions!$B$51+AE62*Assumptions!$B$52-AE12</f>
        <v>4</v>
      </c>
      <c r="AF63" s="15">
        <f>Assumptions!$B$51+AF62*Assumptions!$B$52-AF12</f>
        <v>5</v>
      </c>
      <c r="AG63" s="15">
        <f>Assumptions!$B$51+AG62*Assumptions!$B$52-AG12</f>
        <v>5</v>
      </c>
      <c r="AH63" s="15">
        <f>Assumptions!$B$51+AH62*Assumptions!$B$52-AH12</f>
        <v>5</v>
      </c>
      <c r="AI63" s="15">
        <f>Assumptions!$B$51+AI62*Assumptions!$B$52-AI12</f>
        <v>5</v>
      </c>
      <c r="AJ63" s="15">
        <f>Assumptions!$B$51+AJ62*Assumptions!$B$52-AJ12</f>
        <v>4</v>
      </c>
      <c r="AK63" s="15">
        <f>Assumptions!$B$51+AK62*Assumptions!$B$52-AK12</f>
        <v>5</v>
      </c>
      <c r="AL63" s="15">
        <f>Assumptions!$B$51+AL62*Assumptions!$B$52-AL12</f>
        <v>5</v>
      </c>
    </row>
    <row r="64" spans="1:38" x14ac:dyDescent="0.25">
      <c r="A64" s="2" t="s">
        <v>341</v>
      </c>
      <c r="C64" s="12">
        <f>C62*Assumptions!$B$53/12</f>
        <v>0</v>
      </c>
      <c r="D64" s="12">
        <f>D62*Assumptions!$B$53/12</f>
        <v>0</v>
      </c>
      <c r="E64" s="12">
        <f>E62*Assumptions!$B$53/12</f>
        <v>0</v>
      </c>
      <c r="F64" s="12">
        <f>F62*Assumptions!$B$53/12</f>
        <v>0</v>
      </c>
      <c r="G64" s="12">
        <f>G62*Assumptions!$B$53/12</f>
        <v>0</v>
      </c>
      <c r="H64" s="12">
        <f>H62*Assumptions!$B$53/12</f>
        <v>0</v>
      </c>
      <c r="I64" s="12">
        <f>I62*Assumptions!$B$53/12</f>
        <v>0</v>
      </c>
      <c r="J64" s="12">
        <f>J62*Assumptions!$B$53/12</f>
        <v>0</v>
      </c>
      <c r="K64" s="12">
        <f>K62*Assumptions!$B$53/12</f>
        <v>4583.333333333333</v>
      </c>
      <c r="L64" s="12">
        <f>L62*Assumptions!$B$53/12</f>
        <v>4583.333333333333</v>
      </c>
      <c r="M64" s="12">
        <f>M62*Assumptions!$B$53/12</f>
        <v>4583.333333333333</v>
      </c>
      <c r="N64" s="12">
        <f>N62*Assumptions!$B$53/12</f>
        <v>4583.333333333333</v>
      </c>
      <c r="O64" s="12">
        <f>O62*Assumptions!$B$53/12</f>
        <v>9166.6666666666661</v>
      </c>
      <c r="P64" s="12">
        <f>P62*Assumptions!$B$53/12</f>
        <v>9166.6666666666661</v>
      </c>
      <c r="Q64" s="12">
        <f>Q62*Assumptions!$B$53/12</f>
        <v>9166.6666666666661</v>
      </c>
      <c r="R64" s="12">
        <f>R62*Assumptions!$B$53/12</f>
        <v>9166.6666666666661</v>
      </c>
      <c r="S64" s="12">
        <f>S62*Assumptions!$B$53/12</f>
        <v>9166.6666666666661</v>
      </c>
      <c r="T64" s="12">
        <f>T62*Assumptions!$B$53/12</f>
        <v>9166.6666666666661</v>
      </c>
      <c r="U64" s="12">
        <f>U62*Assumptions!$B$53/12</f>
        <v>9166.6666666666661</v>
      </c>
      <c r="V64" s="12">
        <f>V62*Assumptions!$B$53/12</f>
        <v>9166.6666666666661</v>
      </c>
      <c r="W64" s="12">
        <f>W62*Assumptions!$B$53/12</f>
        <v>9166.6666666666661</v>
      </c>
      <c r="X64" s="12">
        <f>X62*Assumptions!$B$53/12</f>
        <v>9166.6666666666661</v>
      </c>
      <c r="Y64" s="12">
        <f>Y62*Assumptions!$B$53/12</f>
        <v>9166.6666666666661</v>
      </c>
      <c r="Z64" s="12">
        <f>Z62*Assumptions!$B$53/12</f>
        <v>9166.6666666666661</v>
      </c>
      <c r="AA64" s="12">
        <f>AA62*Assumptions!$B$53/12</f>
        <v>13750</v>
      </c>
      <c r="AB64" s="12">
        <f>AB62*Assumptions!$B$53/12</f>
        <v>13750</v>
      </c>
      <c r="AC64" s="12">
        <f>AC62*Assumptions!$B$53/12</f>
        <v>13750</v>
      </c>
      <c r="AD64" s="12">
        <f>AD62*Assumptions!$B$53/12</f>
        <v>13750</v>
      </c>
      <c r="AE64" s="12">
        <f>AE62*Assumptions!$B$53/12</f>
        <v>13750</v>
      </c>
      <c r="AF64" s="12">
        <f>AF62*Assumptions!$B$53/12</f>
        <v>13750</v>
      </c>
      <c r="AG64" s="12">
        <f>AG62*Assumptions!$B$53/12</f>
        <v>13750</v>
      </c>
      <c r="AH64" s="12">
        <f>AH62*Assumptions!$B$53/12</f>
        <v>13750</v>
      </c>
      <c r="AI64" s="12">
        <f>AI62*Assumptions!$B$53/12</f>
        <v>13750</v>
      </c>
      <c r="AJ64" s="12">
        <f>AJ62*Assumptions!$B$53/12</f>
        <v>13750</v>
      </c>
      <c r="AK64" s="12">
        <f>AK62*Assumptions!$B$53/12</f>
        <v>13750</v>
      </c>
      <c r="AL64" s="12">
        <f>AL62*Assumptions!$B$53/12</f>
        <v>13750</v>
      </c>
    </row>
    <row r="65" spans="1:38" x14ac:dyDescent="0.25">
      <c r="A65" s="2" t="s">
        <v>202</v>
      </c>
      <c r="C65" s="12">
        <f ca="1">Assumptions!$B$54*(C30*Assumptions!$B$30+C32*Assumptions!$B$31+C45*Assumptions!$B$32+C46*Assumptions!$B$34)</f>
        <v>0</v>
      </c>
      <c r="D65" s="12">
        <f ca="1">Assumptions!$B$54*(D30*Assumptions!$B$30+D32*Assumptions!$B$31+D45*Assumptions!$B$32+D46*Assumptions!$B$34)</f>
        <v>2000</v>
      </c>
      <c r="E65" s="12">
        <f ca="1">Assumptions!$B$54*(E30*Assumptions!$B$30+E32*Assumptions!$B$31+E45*Assumptions!$B$32+E46*Assumptions!$B$34)</f>
        <v>2000</v>
      </c>
      <c r="F65" s="12">
        <f ca="1">Assumptions!$B$54*(F30*Assumptions!$B$30+F32*Assumptions!$B$31+F45*Assumptions!$B$32+F46*Assumptions!$B$34)</f>
        <v>0</v>
      </c>
      <c r="G65" s="12">
        <f ca="1">Assumptions!$B$54*(G30*Assumptions!$B$30+G32*Assumptions!$B$31+G45*Assumptions!$B$32+G46*Assumptions!$B$34)</f>
        <v>2000</v>
      </c>
      <c r="H65" s="12">
        <f ca="1">Assumptions!$B$54*(H30*Assumptions!$B$30+H32*Assumptions!$B$31+H45*Assumptions!$B$32+H46*Assumptions!$B$34)</f>
        <v>0</v>
      </c>
      <c r="I65" s="12">
        <f ca="1">Assumptions!$B$54*(I30*Assumptions!$B$30+I32*Assumptions!$B$31+I45*Assumptions!$B$32+I46*Assumptions!$B$34)</f>
        <v>2000</v>
      </c>
      <c r="J65" s="12">
        <f ca="1">Assumptions!$B$54*(J30*Assumptions!$B$30+J32*Assumptions!$B$31+J45*Assumptions!$B$32+J46*Assumptions!$B$34)</f>
        <v>2000</v>
      </c>
      <c r="K65" s="12">
        <f ca="1">Assumptions!$B$54*(K30*Assumptions!$B$30+K32*Assumptions!$B$31+K45*Assumptions!$B$32+K46*Assumptions!$B$34)</f>
        <v>9000</v>
      </c>
      <c r="L65" s="12">
        <f ca="1">Assumptions!$B$54*(L30*Assumptions!$B$30+L32*Assumptions!$B$31+L45*Assumptions!$B$32+L46*Assumptions!$B$34)</f>
        <v>4500</v>
      </c>
      <c r="M65" s="12">
        <f ca="1">Assumptions!$B$54*(M30*Assumptions!$B$30+M32*Assumptions!$B$31+M45*Assumptions!$B$32+M46*Assumptions!$B$34)</f>
        <v>0</v>
      </c>
      <c r="N65" s="12">
        <f ca="1">Assumptions!$B$54*(N30*Assumptions!$B$30+N32*Assumptions!$B$31+N45*Assumptions!$B$32+N46*Assumptions!$B$34)</f>
        <v>2000</v>
      </c>
      <c r="O65" s="12">
        <f ca="1">Assumptions!$B$54*(O30*Assumptions!$B$30+O32*Assumptions!$B$31+O45*Assumptions!$B$32+O46*Assumptions!$B$34)</f>
        <v>2000</v>
      </c>
      <c r="P65" s="12">
        <f ca="1">Assumptions!$B$54*(P30*Assumptions!$B$30+P32*Assumptions!$B$31+P45*Assumptions!$B$32+P46*Assumptions!$B$34)</f>
        <v>2000</v>
      </c>
      <c r="Q65" s="12">
        <f ca="1">Assumptions!$B$54*(Q30*Assumptions!$B$30+Q32*Assumptions!$B$31+Q45*Assumptions!$B$32+Q46*Assumptions!$B$34)</f>
        <v>6500</v>
      </c>
      <c r="R65" s="12">
        <f ca="1">Assumptions!$B$54*(R30*Assumptions!$B$30+R32*Assumptions!$B$31+R45*Assumptions!$B$32+R46*Assumptions!$B$34)</f>
        <v>2000</v>
      </c>
      <c r="S65" s="12">
        <f ca="1">Assumptions!$B$54*(S30*Assumptions!$B$30+S32*Assumptions!$B$31+S45*Assumptions!$B$32+S46*Assumptions!$B$34)</f>
        <v>2000</v>
      </c>
      <c r="T65" s="12">
        <f ca="1">Assumptions!$B$54*(T30*Assumptions!$B$30+T32*Assumptions!$B$31+T45*Assumptions!$B$32+T46*Assumptions!$B$34)</f>
        <v>8500</v>
      </c>
      <c r="U65" s="12">
        <f ca="1">Assumptions!$B$54*(U30*Assumptions!$B$30+U32*Assumptions!$B$31+U45*Assumptions!$B$32+U46*Assumptions!$B$34)</f>
        <v>2000</v>
      </c>
      <c r="V65" s="12">
        <f ca="1">Assumptions!$B$54*(V30*Assumptions!$B$30+V32*Assumptions!$B$31+V45*Assumptions!$B$32+V46*Assumptions!$B$34)</f>
        <v>4000</v>
      </c>
      <c r="W65" s="12">
        <f ca="1">Assumptions!$B$54*(W30*Assumptions!$B$30+W32*Assumptions!$B$31+W45*Assumptions!$B$32+W46*Assumptions!$B$34)</f>
        <v>2000</v>
      </c>
      <c r="X65" s="12">
        <f ca="1">Assumptions!$B$54*(X30*Assumptions!$B$30+X32*Assumptions!$B$31+X45*Assumptions!$B$32+X46*Assumptions!$B$34)</f>
        <v>6500</v>
      </c>
      <c r="Y65" s="12">
        <f ca="1">Assumptions!$B$54*(Y30*Assumptions!$B$30+Y32*Assumptions!$B$31+Y45*Assumptions!$B$32+Y46*Assumptions!$B$34)</f>
        <v>8500</v>
      </c>
      <c r="Z65" s="12">
        <f ca="1">Assumptions!$B$54*(Z30*Assumptions!$B$30+Z32*Assumptions!$B$31+Z45*Assumptions!$B$32+Z46*Assumptions!$B$34)</f>
        <v>14000</v>
      </c>
      <c r="AA65" s="12">
        <f ca="1">Assumptions!$B$54*(AA30*Assumptions!$B$30+AA32*Assumptions!$B$31+AA45*Assumptions!$B$32+AA46*Assumptions!$B$34)</f>
        <v>13000</v>
      </c>
      <c r="AB65" s="12">
        <f ca="1">Assumptions!$B$54*(AB30*Assumptions!$B$30+AB32*Assumptions!$B$31+AB45*Assumptions!$B$32+AB46*Assumptions!$B$34)</f>
        <v>2000</v>
      </c>
      <c r="AC65" s="12">
        <f ca="1">Assumptions!$B$54*(AC30*Assumptions!$B$30+AC32*Assumptions!$B$31+AC45*Assumptions!$B$32+AC46*Assumptions!$B$34)</f>
        <v>8500</v>
      </c>
      <c r="AD65" s="12">
        <f ca="1">Assumptions!$B$54*(AD30*Assumptions!$B$30+AD32*Assumptions!$B$31+AD45*Assumptions!$B$32+AD46*Assumptions!$B$34)</f>
        <v>8500</v>
      </c>
      <c r="AE65" s="12">
        <f ca="1">Assumptions!$B$54*(AE30*Assumptions!$B$30+AE32*Assumptions!$B$31+AE45*Assumptions!$B$32+AE46*Assumptions!$B$34)</f>
        <v>8500</v>
      </c>
      <c r="AF65" s="12">
        <f ca="1">Assumptions!$B$54*(AF30*Assumptions!$B$30+AF32*Assumptions!$B$31+AF45*Assumptions!$B$32+AF46*Assumptions!$B$34)</f>
        <v>8500</v>
      </c>
      <c r="AG65" s="12">
        <f ca="1">Assumptions!$B$54*(AG30*Assumptions!$B$30+AG32*Assumptions!$B$31+AG45*Assumptions!$B$32+AG46*Assumptions!$B$34)</f>
        <v>2000</v>
      </c>
      <c r="AH65" s="12">
        <f ca="1">Assumptions!$B$54*(AH30*Assumptions!$B$30+AH32*Assumptions!$B$31+AH45*Assumptions!$B$32+AH46*Assumptions!$B$34)</f>
        <v>10500</v>
      </c>
      <c r="AI65" s="12">
        <f ca="1">Assumptions!$B$54*(AI30*Assumptions!$B$30+AI32*Assumptions!$B$31+AI45*Assumptions!$B$32+AI46*Assumptions!$B$34)</f>
        <v>13000</v>
      </c>
      <c r="AJ65" s="12">
        <f ca="1">Assumptions!$B$54*(AJ30*Assumptions!$B$30+AJ32*Assumptions!$B$31+AJ45*Assumptions!$B$32+AJ46*Assumptions!$B$34)</f>
        <v>8500</v>
      </c>
      <c r="AK65" s="12">
        <f ca="1">Assumptions!$B$54*(AK30*Assumptions!$B$30+AK32*Assumptions!$B$31+AK45*Assumptions!$B$32+AK46*Assumptions!$B$34)</f>
        <v>8500</v>
      </c>
      <c r="AL65" s="12">
        <f ca="1">Assumptions!$B$54*(AL30*Assumptions!$B$30+AL32*Assumptions!$B$31+AL45*Assumptions!$B$32+AL46*Assumptions!$B$34)</f>
        <v>28500</v>
      </c>
    </row>
    <row r="66" spans="1:38" x14ac:dyDescent="0.25">
      <c r="A66" s="2" t="s">
        <v>342</v>
      </c>
      <c r="C66" s="38">
        <f ca="1">IF(C42&gt;=Assumptions!$B$55,MAX(1,ROUNDUP((C42+(C43+C44)*Assumptions!$B$58+C38*Assumptions!$B$57)/Assumptions!$B$56,0)),0)</f>
        <v>0</v>
      </c>
      <c r="D66" s="38">
        <f ca="1">IF(D42&gt;=Assumptions!$B$55,MAX(1,ROUNDUP((D42+(D43+D44)*Assumptions!$B$58+D38*Assumptions!$B$57)/Assumptions!$B$56,0)),0)</f>
        <v>0</v>
      </c>
      <c r="E66" s="38">
        <f ca="1">IF(E42&gt;=Assumptions!$B$55,MAX(1,ROUNDUP((E42+(E43+E44)*Assumptions!$B$58+E38*Assumptions!$B$57)/Assumptions!$B$56,0)),0)</f>
        <v>0</v>
      </c>
      <c r="F66" s="38">
        <f ca="1">IF(F42&gt;=Assumptions!$B$55,MAX(1,ROUNDUP((F42+(F43+F44)*Assumptions!$B$58+F38*Assumptions!$B$57)/Assumptions!$B$56,0)),0)</f>
        <v>0</v>
      </c>
      <c r="G66" s="38">
        <f ca="1">IF(G42&gt;=Assumptions!$B$55,MAX(1,ROUNDUP((G42+(G43+G44)*Assumptions!$B$58+G38*Assumptions!$B$57)/Assumptions!$B$56,0)),0)</f>
        <v>0</v>
      </c>
      <c r="H66" s="38">
        <f ca="1">IF(H42&gt;=Assumptions!$B$55,MAX(1,ROUNDUP((H42+(H43+H44)*Assumptions!$B$58+H38*Assumptions!$B$57)/Assumptions!$B$56,0)),0)</f>
        <v>0</v>
      </c>
      <c r="I66" s="38">
        <f ca="1">IF(I42&gt;=Assumptions!$B$55,MAX(1,ROUNDUP((I42+(I43+I44)*Assumptions!$B$58+I38*Assumptions!$B$57)/Assumptions!$B$56,0)),0)</f>
        <v>0</v>
      </c>
      <c r="J66" s="38">
        <f ca="1">IF(J42&gt;=Assumptions!$B$55,MAX(1,ROUNDUP((J42+(J43+J44)*Assumptions!$B$58+J38*Assumptions!$B$57)/Assumptions!$B$56,0)),0)</f>
        <v>0</v>
      </c>
      <c r="K66" s="38">
        <f ca="1">IF(K42&gt;=Assumptions!$B$55,MAX(1,ROUNDUP((K42+(K43+K44)*Assumptions!$B$58+K38*Assumptions!$B$57)/Assumptions!$B$56,0)),0)</f>
        <v>0</v>
      </c>
      <c r="L66" s="38">
        <f ca="1">IF(L42&gt;=Assumptions!$B$55,MAX(1,ROUNDUP((L42+(L43+L44)*Assumptions!$B$58+L38*Assumptions!$B$57)/Assumptions!$B$56,0)),0)</f>
        <v>0</v>
      </c>
      <c r="M66" s="38">
        <f ca="1">IF(M42&gt;=Assumptions!$B$55,MAX(1,ROUNDUP((M42+(M43+M44)*Assumptions!$B$58+M38*Assumptions!$B$57)/Assumptions!$B$56,0)),0)</f>
        <v>0</v>
      </c>
      <c r="N66" s="38">
        <f ca="1">IF(N42&gt;=Assumptions!$B$55,MAX(1,ROUNDUP((N42+(N43+N44)*Assumptions!$B$58+N38*Assumptions!$B$57)/Assumptions!$B$56,0)),0)</f>
        <v>0</v>
      </c>
      <c r="O66" s="38">
        <f ca="1">IF(O42&gt;=Assumptions!$B$55,MAX(1,ROUNDUP((O42+(O43+O44)*Assumptions!$B$58+O38*Assumptions!$B$57)/Assumptions!$B$56,0)),0)</f>
        <v>0</v>
      </c>
      <c r="P66" s="38">
        <f ca="1">IF(P42&gt;=Assumptions!$B$55,MAX(1,ROUNDUP((P42+(P43+P44)*Assumptions!$B$58+P38*Assumptions!$B$57)/Assumptions!$B$56,0)),0)</f>
        <v>0</v>
      </c>
      <c r="Q66" s="38">
        <f ca="1">IF(Q42&gt;=Assumptions!$B$55,MAX(1,ROUNDUP((Q42+(Q43+Q44)*Assumptions!$B$58+Q38*Assumptions!$B$57)/Assumptions!$B$56,0)),0)</f>
        <v>0</v>
      </c>
      <c r="R66" s="38">
        <f ca="1">IF(R42&gt;=Assumptions!$B$55,MAX(1,ROUNDUP((R42+(R43+R44)*Assumptions!$B$58+R38*Assumptions!$B$57)/Assumptions!$B$56,0)),0)</f>
        <v>0</v>
      </c>
      <c r="S66" s="38">
        <f ca="1">IF(S42&gt;=Assumptions!$B$55,MAX(1,ROUNDUP((S42+(S43+S44)*Assumptions!$B$58+S38*Assumptions!$B$57)/Assumptions!$B$56,0)),0)</f>
        <v>0</v>
      </c>
      <c r="T66" s="38">
        <f ca="1">IF(T42&gt;=Assumptions!$B$55,MAX(1,ROUNDUP((T42+(T43+T44)*Assumptions!$B$58+T38*Assumptions!$B$57)/Assumptions!$B$56,0)),0)</f>
        <v>0</v>
      </c>
      <c r="U66" s="38">
        <f ca="1">IF(U42&gt;=Assumptions!$B$55,MAX(1,ROUNDUP((U42+(U43+U44)*Assumptions!$B$58+U38*Assumptions!$B$57)/Assumptions!$B$56,0)),0)</f>
        <v>0</v>
      </c>
      <c r="V66" s="38">
        <f ca="1">IF(V42&gt;=Assumptions!$B$55,MAX(1,ROUNDUP((V42+(V43+V44)*Assumptions!$B$58+V38*Assumptions!$B$57)/Assumptions!$B$56,0)),0)</f>
        <v>0</v>
      </c>
      <c r="W66" s="38">
        <f ca="1">IF(W42&gt;=Assumptions!$B$55,MAX(1,ROUNDUP((W42+(W43+W44)*Assumptions!$B$58+W38*Assumptions!$B$57)/Assumptions!$B$56,0)),0)</f>
        <v>0</v>
      </c>
      <c r="X66" s="38">
        <f ca="1">IF(X42&gt;=Assumptions!$B$55,MAX(1,ROUNDUP((X42+(X43+X44)*Assumptions!$B$58+X38*Assumptions!$B$57)/Assumptions!$B$56,0)),0)</f>
        <v>0</v>
      </c>
      <c r="Y66" s="38">
        <f ca="1">IF(Y42&gt;=Assumptions!$B$55,MAX(1,ROUNDUP((Y42+(Y43+Y44)*Assumptions!$B$58+Y38*Assumptions!$B$57)/Assumptions!$B$56,0)),0)</f>
        <v>0</v>
      </c>
      <c r="Z66" s="38">
        <f ca="1">IF(Z42&gt;=Assumptions!$B$55,MAX(1,ROUNDUP((Z42+(Z43+Z44)*Assumptions!$B$58+Z38*Assumptions!$B$57)/Assumptions!$B$56,0)),0)</f>
        <v>0</v>
      </c>
      <c r="AA66" s="38">
        <f ca="1">IF(AA42&gt;=Assumptions!$B$55,MAX(1,ROUNDUP((AA42+(AA43+AA44)*Assumptions!$B$58+AA38*Assumptions!$B$57)/Assumptions!$B$56,0)),0)</f>
        <v>0</v>
      </c>
      <c r="AB66" s="38">
        <f ca="1">IF(AB42&gt;=Assumptions!$B$55,MAX(1,ROUNDUP((AB42+(AB43+AB44)*Assumptions!$B$58+AB38*Assumptions!$B$57)/Assumptions!$B$56,0)),0)</f>
        <v>0</v>
      </c>
      <c r="AC66" s="38">
        <f ca="1">IF(AC42&gt;=Assumptions!$B$55,MAX(1,ROUNDUP((AC42+(AC43+AC44)*Assumptions!$B$58+AC38*Assumptions!$B$57)/Assumptions!$B$56,0)),0)</f>
        <v>2</v>
      </c>
      <c r="AD66" s="38">
        <f ca="1">IF(AD42&gt;=Assumptions!$B$55,MAX(1,ROUNDUP((AD42+(AD43+AD44)*Assumptions!$B$58+AD38*Assumptions!$B$57)/Assumptions!$B$56,0)),0)</f>
        <v>2</v>
      </c>
      <c r="AE66" s="38">
        <f ca="1">IF(AE42&gt;=Assumptions!$B$55,MAX(1,ROUNDUP((AE42+(AE43+AE44)*Assumptions!$B$58+AE38*Assumptions!$B$57)/Assumptions!$B$56,0)),0)</f>
        <v>2</v>
      </c>
      <c r="AF66" s="38">
        <f ca="1">IF(AF42&gt;=Assumptions!$B$55,MAX(1,ROUNDUP((AF42+(AF43+AF44)*Assumptions!$B$58+AF38*Assumptions!$B$57)/Assumptions!$B$56,0)),0)</f>
        <v>2</v>
      </c>
      <c r="AG66" s="38">
        <f ca="1">IF(AG42&gt;=Assumptions!$B$55,MAX(1,ROUNDUP((AG42+(AG43+AG44)*Assumptions!$B$58+AG38*Assumptions!$B$57)/Assumptions!$B$56,0)),0)</f>
        <v>2</v>
      </c>
      <c r="AH66" s="38">
        <f ca="1">IF(AH42&gt;=Assumptions!$B$55,MAX(1,ROUNDUP((AH42+(AH43+AH44)*Assumptions!$B$58+AH38*Assumptions!$B$57)/Assumptions!$B$56,0)),0)</f>
        <v>2</v>
      </c>
      <c r="AI66" s="38">
        <f ca="1">IF(AI42&gt;=Assumptions!$B$55,MAX(1,ROUNDUP((AI42+(AI43+AI44)*Assumptions!$B$58+AI38*Assumptions!$B$57)/Assumptions!$B$56,0)),0)</f>
        <v>2</v>
      </c>
      <c r="AJ66" s="38">
        <f ca="1">IF(AJ42&gt;=Assumptions!$B$55,MAX(1,ROUNDUP((AJ42+(AJ43+AJ44)*Assumptions!$B$58+AJ38*Assumptions!$B$57)/Assumptions!$B$56,0)),0)</f>
        <v>2</v>
      </c>
      <c r="AK66" s="38">
        <f ca="1">IF(AK42&gt;=Assumptions!$B$55,MAX(1,ROUNDUP((AK42+(AK43+AK44)*Assumptions!$B$58+AK38*Assumptions!$B$57)/Assumptions!$B$56,0)),0)</f>
        <v>3</v>
      </c>
      <c r="AL66" s="38">
        <f ca="1">IF(AL42&gt;=Assumptions!$B$55,MAX(1,ROUNDUP((AL42+(AL43+AL44)*Assumptions!$B$58+AL38*Assumptions!$B$57)/Assumptions!$B$56,0)),0)</f>
        <v>3</v>
      </c>
    </row>
    <row r="67" spans="1:38" x14ac:dyDescent="0.25">
      <c r="A67" s="2" t="s">
        <v>343</v>
      </c>
      <c r="C67" s="12">
        <f ca="1">C66*Assumptions!$B$59/12</f>
        <v>0</v>
      </c>
      <c r="D67" s="12">
        <f ca="1">D66*Assumptions!$B$59/12</f>
        <v>0</v>
      </c>
      <c r="E67" s="12">
        <f ca="1">E66*Assumptions!$B$59/12</f>
        <v>0</v>
      </c>
      <c r="F67" s="12">
        <f ca="1">F66*Assumptions!$B$59/12</f>
        <v>0</v>
      </c>
      <c r="G67" s="12">
        <f ca="1">G66*Assumptions!$B$59/12</f>
        <v>0</v>
      </c>
      <c r="H67" s="12">
        <f ca="1">H66*Assumptions!$B$59/12</f>
        <v>0</v>
      </c>
      <c r="I67" s="12">
        <f ca="1">I66*Assumptions!$B$59/12</f>
        <v>0</v>
      </c>
      <c r="J67" s="12">
        <f ca="1">J66*Assumptions!$B$59/12</f>
        <v>0</v>
      </c>
      <c r="K67" s="12">
        <f ca="1">K66*Assumptions!$B$59/12</f>
        <v>0</v>
      </c>
      <c r="L67" s="12">
        <f ca="1">L66*Assumptions!$B$59/12</f>
        <v>0</v>
      </c>
      <c r="M67" s="12">
        <f ca="1">M66*Assumptions!$B$59/12</f>
        <v>0</v>
      </c>
      <c r="N67" s="12">
        <f ca="1">N66*Assumptions!$B$59/12</f>
        <v>0</v>
      </c>
      <c r="O67" s="12">
        <f ca="1">O66*Assumptions!$B$59/12</f>
        <v>0</v>
      </c>
      <c r="P67" s="12">
        <f ca="1">P66*Assumptions!$B$59/12</f>
        <v>0</v>
      </c>
      <c r="Q67" s="12">
        <f ca="1">Q66*Assumptions!$B$59/12</f>
        <v>0</v>
      </c>
      <c r="R67" s="12">
        <f ca="1">R66*Assumptions!$B$59/12</f>
        <v>0</v>
      </c>
      <c r="S67" s="12">
        <f ca="1">S66*Assumptions!$B$59/12</f>
        <v>0</v>
      </c>
      <c r="T67" s="12">
        <f ca="1">T66*Assumptions!$B$59/12</f>
        <v>0</v>
      </c>
      <c r="U67" s="12">
        <f ca="1">U66*Assumptions!$B$59/12</f>
        <v>0</v>
      </c>
      <c r="V67" s="12">
        <f ca="1">V66*Assumptions!$B$59/12</f>
        <v>0</v>
      </c>
      <c r="W67" s="12">
        <f ca="1">W66*Assumptions!$B$59/12</f>
        <v>0</v>
      </c>
      <c r="X67" s="12">
        <f ca="1">X66*Assumptions!$B$59/12</f>
        <v>0</v>
      </c>
      <c r="Y67" s="12">
        <f ca="1">Y66*Assumptions!$B$59/12</f>
        <v>0</v>
      </c>
      <c r="Z67" s="12">
        <f ca="1">Z66*Assumptions!$B$59/12</f>
        <v>0</v>
      </c>
      <c r="AA67" s="12">
        <f ca="1">AA66*Assumptions!$B$59/12</f>
        <v>0</v>
      </c>
      <c r="AB67" s="12">
        <f ca="1">AB66*Assumptions!$B$59/12</f>
        <v>0</v>
      </c>
      <c r="AC67" s="12">
        <f ca="1">AC66*Assumptions!$B$59/12</f>
        <v>10000</v>
      </c>
      <c r="AD67" s="12">
        <f ca="1">AD66*Assumptions!$B$59/12</f>
        <v>10000</v>
      </c>
      <c r="AE67" s="12">
        <f ca="1">AE66*Assumptions!$B$59/12</f>
        <v>10000</v>
      </c>
      <c r="AF67" s="12">
        <f ca="1">AF66*Assumptions!$B$59/12</f>
        <v>10000</v>
      </c>
      <c r="AG67" s="12">
        <f ca="1">AG66*Assumptions!$B$59/12</f>
        <v>10000</v>
      </c>
      <c r="AH67" s="12">
        <f ca="1">AH66*Assumptions!$B$59/12</f>
        <v>10000</v>
      </c>
      <c r="AI67" s="12">
        <f ca="1">AI66*Assumptions!$B$59/12</f>
        <v>10000</v>
      </c>
      <c r="AJ67" s="12">
        <f ca="1">AJ66*Assumptions!$B$59/12</f>
        <v>10000</v>
      </c>
      <c r="AK67" s="12">
        <f ca="1">AK66*Assumptions!$B$59/12</f>
        <v>15000</v>
      </c>
      <c r="AL67" s="12">
        <f ca="1">AL66*Assumptions!$B$59/12</f>
        <v>15000</v>
      </c>
    </row>
    <row r="68" spans="1:38" x14ac:dyDescent="0.25">
      <c r="A68" s="2" t="s">
        <v>344</v>
      </c>
      <c r="C68" s="12">
        <f ca="1">MAX(0,Assumptions!$B$62*(IF(C6&gt;=Assumptions!$B$48,1,0)*(Assumptions!$B$45*MAX(0,Assumptions!$B$44/12-Assumptions!$B$63/12)+Assumptions!$B$47*MAX(0,Assumptions!$B$46/12-Assumptions!$B$63/12))+C62*MAX(0,Assumptions!$B$53/12-Assumptions!$B$63/12)+C66*MAX(0,Assumptions!$B$59/12-Assumptions!$B$63/12))-Assumptions!$B$64/12)</f>
        <v>2374.9999999999995</v>
      </c>
      <c r="D68" s="12">
        <f ca="1">MAX(0,Assumptions!$B$62*(IF(D6&gt;=Assumptions!$B$48,1,0)*(Assumptions!$B$45*MAX(0,Assumptions!$B$44/12-Assumptions!$B$63/12)+Assumptions!$B$47*MAX(0,Assumptions!$B$46/12-Assumptions!$B$63/12))+D62*MAX(0,Assumptions!$B$53/12-Assumptions!$B$63/12)+D66*MAX(0,Assumptions!$B$59/12-Assumptions!$B$63/12))-Assumptions!$B$64/12)</f>
        <v>2374.9999999999995</v>
      </c>
      <c r="E68" s="12">
        <f ca="1">MAX(0,Assumptions!$B$62*(IF(E6&gt;=Assumptions!$B$48,1,0)*(Assumptions!$B$45*MAX(0,Assumptions!$B$44/12-Assumptions!$B$63/12)+Assumptions!$B$47*MAX(0,Assumptions!$B$46/12-Assumptions!$B$63/12))+E62*MAX(0,Assumptions!$B$53/12-Assumptions!$B$63/12)+E66*MAX(0,Assumptions!$B$59/12-Assumptions!$B$63/12))-Assumptions!$B$64/12)</f>
        <v>2374.9999999999995</v>
      </c>
      <c r="F68" s="12">
        <f ca="1">MAX(0,Assumptions!$B$62*(IF(F6&gt;=Assumptions!$B$48,1,0)*(Assumptions!$B$45*MAX(0,Assumptions!$B$44/12-Assumptions!$B$63/12)+Assumptions!$B$47*MAX(0,Assumptions!$B$46/12-Assumptions!$B$63/12))+F62*MAX(0,Assumptions!$B$53/12-Assumptions!$B$63/12)+F66*MAX(0,Assumptions!$B$59/12-Assumptions!$B$63/12))-Assumptions!$B$64/12)</f>
        <v>2374.9999999999995</v>
      </c>
      <c r="G68" s="12">
        <f ca="1">MAX(0,Assumptions!$B$62*(IF(G6&gt;=Assumptions!$B$48,1,0)*(Assumptions!$B$45*MAX(0,Assumptions!$B$44/12-Assumptions!$B$63/12)+Assumptions!$B$47*MAX(0,Assumptions!$B$46/12-Assumptions!$B$63/12))+G62*MAX(0,Assumptions!$B$53/12-Assumptions!$B$63/12)+G66*MAX(0,Assumptions!$B$59/12-Assumptions!$B$63/12))-Assumptions!$B$64/12)</f>
        <v>2374.9999999999995</v>
      </c>
      <c r="H68" s="12">
        <f ca="1">MAX(0,Assumptions!$B$62*(IF(H6&gt;=Assumptions!$B$48,1,0)*(Assumptions!$B$45*MAX(0,Assumptions!$B$44/12-Assumptions!$B$63/12)+Assumptions!$B$47*MAX(0,Assumptions!$B$46/12-Assumptions!$B$63/12))+H62*MAX(0,Assumptions!$B$53/12-Assumptions!$B$63/12)+H66*MAX(0,Assumptions!$B$59/12-Assumptions!$B$63/12))-Assumptions!$B$64/12)</f>
        <v>2374.9999999999995</v>
      </c>
      <c r="I68" s="12">
        <f ca="1">MAX(0,Assumptions!$B$62*(IF(I6&gt;=Assumptions!$B$48,1,0)*(Assumptions!$B$45*MAX(0,Assumptions!$B$44/12-Assumptions!$B$63/12)+Assumptions!$B$47*MAX(0,Assumptions!$B$46/12-Assumptions!$B$63/12))+I62*MAX(0,Assumptions!$B$53/12-Assumptions!$B$63/12)+I66*MAX(0,Assumptions!$B$59/12-Assumptions!$B$63/12))-Assumptions!$B$64/12)</f>
        <v>2374.9999999999995</v>
      </c>
      <c r="J68" s="12">
        <f ca="1">MAX(0,Assumptions!$B$62*(IF(J6&gt;=Assumptions!$B$48,1,0)*(Assumptions!$B$45*MAX(0,Assumptions!$B$44/12-Assumptions!$B$63/12)+Assumptions!$B$47*MAX(0,Assumptions!$B$46/12-Assumptions!$B$63/12))+J62*MAX(0,Assumptions!$B$53/12-Assumptions!$B$63/12)+J66*MAX(0,Assumptions!$B$59/12-Assumptions!$B$63/12))-Assumptions!$B$64/12)</f>
        <v>2374.9999999999995</v>
      </c>
      <c r="K68" s="12">
        <f ca="1">MAX(0,Assumptions!$B$62*(IF(K6&gt;=Assumptions!$B$48,1,0)*(Assumptions!$B$45*MAX(0,Assumptions!$B$44/12-Assumptions!$B$63/12)+Assumptions!$B$47*MAX(0,Assumptions!$B$46/12-Assumptions!$B$63/12))+K62*MAX(0,Assumptions!$B$53/12-Assumptions!$B$63/12)+K66*MAX(0,Assumptions!$B$59/12-Assumptions!$B$63/12))-Assumptions!$B$64/12)</f>
        <v>2999.9999999999991</v>
      </c>
      <c r="L68" s="12">
        <f ca="1">MAX(0,Assumptions!$B$62*(IF(L6&gt;=Assumptions!$B$48,1,0)*(Assumptions!$B$45*MAX(0,Assumptions!$B$44/12-Assumptions!$B$63/12)+Assumptions!$B$47*MAX(0,Assumptions!$B$46/12-Assumptions!$B$63/12))+L62*MAX(0,Assumptions!$B$53/12-Assumptions!$B$63/12)+L66*MAX(0,Assumptions!$B$59/12-Assumptions!$B$63/12))-Assumptions!$B$64/12)</f>
        <v>2999.9999999999991</v>
      </c>
      <c r="M68" s="12">
        <f ca="1">MAX(0,Assumptions!$B$62*(IF(M6&gt;=Assumptions!$B$48,1,0)*(Assumptions!$B$45*MAX(0,Assumptions!$B$44/12-Assumptions!$B$63/12)+Assumptions!$B$47*MAX(0,Assumptions!$B$46/12-Assumptions!$B$63/12))+M62*MAX(0,Assumptions!$B$53/12-Assumptions!$B$63/12)+M66*MAX(0,Assumptions!$B$59/12-Assumptions!$B$63/12))-Assumptions!$B$64/12)</f>
        <v>2999.9999999999991</v>
      </c>
      <c r="N68" s="12">
        <f ca="1">MAX(0,Assumptions!$B$62*(IF(N6&gt;=Assumptions!$B$48,1,0)*(Assumptions!$B$45*MAX(0,Assumptions!$B$44/12-Assumptions!$B$63/12)+Assumptions!$B$47*MAX(0,Assumptions!$B$46/12-Assumptions!$B$63/12))+N62*MAX(0,Assumptions!$B$53/12-Assumptions!$B$63/12)+N66*MAX(0,Assumptions!$B$59/12-Assumptions!$B$63/12))-Assumptions!$B$64/12)</f>
        <v>2999.9999999999991</v>
      </c>
      <c r="O68" s="12">
        <f ca="1">MAX(0,Assumptions!$B$62*(IF(O6&gt;=Assumptions!$B$48,1,0)*(Assumptions!$B$45*MAX(0,Assumptions!$B$44/12-Assumptions!$B$63/12)+Assumptions!$B$47*MAX(0,Assumptions!$B$46/12-Assumptions!$B$63/12))+O62*MAX(0,Assumptions!$B$53/12-Assumptions!$B$63/12)+O66*MAX(0,Assumptions!$B$59/12-Assumptions!$B$63/12))-Assumptions!$B$64/12)</f>
        <v>3624.9999999999991</v>
      </c>
      <c r="P68" s="12">
        <f ca="1">MAX(0,Assumptions!$B$62*(IF(P6&gt;=Assumptions!$B$48,1,0)*(Assumptions!$B$45*MAX(0,Assumptions!$B$44/12-Assumptions!$B$63/12)+Assumptions!$B$47*MAX(0,Assumptions!$B$46/12-Assumptions!$B$63/12))+P62*MAX(0,Assumptions!$B$53/12-Assumptions!$B$63/12)+P66*MAX(0,Assumptions!$B$59/12-Assumptions!$B$63/12))-Assumptions!$B$64/12)</f>
        <v>3624.9999999999991</v>
      </c>
      <c r="Q68" s="12">
        <f ca="1">MAX(0,Assumptions!$B$62*(IF(Q6&gt;=Assumptions!$B$48,1,0)*(Assumptions!$B$45*MAX(0,Assumptions!$B$44/12-Assumptions!$B$63/12)+Assumptions!$B$47*MAX(0,Assumptions!$B$46/12-Assumptions!$B$63/12))+Q62*MAX(0,Assumptions!$B$53/12-Assumptions!$B$63/12)+Q66*MAX(0,Assumptions!$B$59/12-Assumptions!$B$63/12))-Assumptions!$B$64/12)</f>
        <v>3624.9999999999991</v>
      </c>
      <c r="R68" s="12">
        <f ca="1">MAX(0,Assumptions!$B$62*(IF(R6&gt;=Assumptions!$B$48,1,0)*(Assumptions!$B$45*MAX(0,Assumptions!$B$44/12-Assumptions!$B$63/12)+Assumptions!$B$47*MAX(0,Assumptions!$B$46/12-Assumptions!$B$63/12))+R62*MAX(0,Assumptions!$B$53/12-Assumptions!$B$63/12)+R66*MAX(0,Assumptions!$B$59/12-Assumptions!$B$63/12))-Assumptions!$B$64/12)</f>
        <v>3624.9999999999991</v>
      </c>
      <c r="S68" s="12">
        <f ca="1">MAX(0,Assumptions!$B$62*(IF(S6&gt;=Assumptions!$B$48,1,0)*(Assumptions!$B$45*MAX(0,Assumptions!$B$44/12-Assumptions!$B$63/12)+Assumptions!$B$47*MAX(0,Assumptions!$B$46/12-Assumptions!$B$63/12))+S62*MAX(0,Assumptions!$B$53/12-Assumptions!$B$63/12)+S66*MAX(0,Assumptions!$B$59/12-Assumptions!$B$63/12))-Assumptions!$B$64/12)</f>
        <v>3624.9999999999991</v>
      </c>
      <c r="T68" s="12">
        <f ca="1">MAX(0,Assumptions!$B$62*(IF(T6&gt;=Assumptions!$B$48,1,0)*(Assumptions!$B$45*MAX(0,Assumptions!$B$44/12-Assumptions!$B$63/12)+Assumptions!$B$47*MAX(0,Assumptions!$B$46/12-Assumptions!$B$63/12))+T62*MAX(0,Assumptions!$B$53/12-Assumptions!$B$63/12)+T66*MAX(0,Assumptions!$B$59/12-Assumptions!$B$63/12))-Assumptions!$B$64/12)</f>
        <v>3624.9999999999991</v>
      </c>
      <c r="U68" s="12">
        <f ca="1">MAX(0,Assumptions!$B$62*(IF(U6&gt;=Assumptions!$B$48,1,0)*(Assumptions!$B$45*MAX(0,Assumptions!$B$44/12-Assumptions!$B$63/12)+Assumptions!$B$47*MAX(0,Assumptions!$B$46/12-Assumptions!$B$63/12))+U62*MAX(0,Assumptions!$B$53/12-Assumptions!$B$63/12)+U66*MAX(0,Assumptions!$B$59/12-Assumptions!$B$63/12))-Assumptions!$B$64/12)</f>
        <v>3624.9999999999991</v>
      </c>
      <c r="V68" s="12">
        <f ca="1">MAX(0,Assumptions!$B$62*(IF(V6&gt;=Assumptions!$B$48,1,0)*(Assumptions!$B$45*MAX(0,Assumptions!$B$44/12-Assumptions!$B$63/12)+Assumptions!$B$47*MAX(0,Assumptions!$B$46/12-Assumptions!$B$63/12))+V62*MAX(0,Assumptions!$B$53/12-Assumptions!$B$63/12)+V66*MAX(0,Assumptions!$B$59/12-Assumptions!$B$63/12))-Assumptions!$B$64/12)</f>
        <v>3624.9999999999991</v>
      </c>
      <c r="W68" s="12">
        <f ca="1">MAX(0,Assumptions!$B$62*(IF(W6&gt;=Assumptions!$B$48,1,0)*(Assumptions!$B$45*MAX(0,Assumptions!$B$44/12-Assumptions!$B$63/12)+Assumptions!$B$47*MAX(0,Assumptions!$B$46/12-Assumptions!$B$63/12))+W62*MAX(0,Assumptions!$B$53/12-Assumptions!$B$63/12)+W66*MAX(0,Assumptions!$B$59/12-Assumptions!$B$63/12))-Assumptions!$B$64/12)</f>
        <v>3624.9999999999991</v>
      </c>
      <c r="X68" s="12">
        <f ca="1">MAX(0,Assumptions!$B$62*(IF(X6&gt;=Assumptions!$B$48,1,0)*(Assumptions!$B$45*MAX(0,Assumptions!$B$44/12-Assumptions!$B$63/12)+Assumptions!$B$47*MAX(0,Assumptions!$B$46/12-Assumptions!$B$63/12))+X62*MAX(0,Assumptions!$B$53/12-Assumptions!$B$63/12)+X66*MAX(0,Assumptions!$B$59/12-Assumptions!$B$63/12))-Assumptions!$B$64/12)</f>
        <v>3624.9999999999991</v>
      </c>
      <c r="Y68" s="12">
        <f ca="1">MAX(0,Assumptions!$B$62*(IF(Y6&gt;=Assumptions!$B$48,1,0)*(Assumptions!$B$45*MAX(0,Assumptions!$B$44/12-Assumptions!$B$63/12)+Assumptions!$B$47*MAX(0,Assumptions!$B$46/12-Assumptions!$B$63/12))+Y62*MAX(0,Assumptions!$B$53/12-Assumptions!$B$63/12)+Y66*MAX(0,Assumptions!$B$59/12-Assumptions!$B$63/12))-Assumptions!$B$64/12)</f>
        <v>3624.9999999999991</v>
      </c>
      <c r="Z68" s="12">
        <f ca="1">MAX(0,Assumptions!$B$62*(IF(Z6&gt;=Assumptions!$B$48,1,0)*(Assumptions!$B$45*MAX(0,Assumptions!$B$44/12-Assumptions!$B$63/12)+Assumptions!$B$47*MAX(0,Assumptions!$B$46/12-Assumptions!$B$63/12))+Z62*MAX(0,Assumptions!$B$53/12-Assumptions!$B$63/12)+Z66*MAX(0,Assumptions!$B$59/12-Assumptions!$B$63/12))-Assumptions!$B$64/12)</f>
        <v>3624.9999999999991</v>
      </c>
      <c r="AA68" s="12">
        <f ca="1">MAX(0,Assumptions!$B$62*(IF(AA6&gt;=Assumptions!$B$48,1,0)*(Assumptions!$B$45*MAX(0,Assumptions!$B$44/12-Assumptions!$B$63/12)+Assumptions!$B$47*MAX(0,Assumptions!$B$46/12-Assumptions!$B$63/12))+AA62*MAX(0,Assumptions!$B$53/12-Assumptions!$B$63/12)+AA66*MAX(0,Assumptions!$B$59/12-Assumptions!$B$63/12))-Assumptions!$B$64/12)</f>
        <v>4249.9999999999991</v>
      </c>
      <c r="AB68" s="12">
        <f ca="1">MAX(0,Assumptions!$B$62*(IF(AB6&gt;=Assumptions!$B$48,1,0)*(Assumptions!$B$45*MAX(0,Assumptions!$B$44/12-Assumptions!$B$63/12)+Assumptions!$B$47*MAX(0,Assumptions!$B$46/12-Assumptions!$B$63/12))+AB62*MAX(0,Assumptions!$B$53/12-Assumptions!$B$63/12)+AB66*MAX(0,Assumptions!$B$59/12-Assumptions!$B$63/12))-Assumptions!$B$64/12)</f>
        <v>4249.9999999999991</v>
      </c>
      <c r="AC68" s="12">
        <f ca="1">MAX(0,Assumptions!$B$62*(IF(AC6&gt;=Assumptions!$B$48,1,0)*(Assumptions!$B$45*MAX(0,Assumptions!$B$44/12-Assumptions!$B$63/12)+Assumptions!$B$47*MAX(0,Assumptions!$B$46/12-Assumptions!$B$63/12))+AC62*MAX(0,Assumptions!$B$53/12-Assumptions!$B$63/12)+AC66*MAX(0,Assumptions!$B$59/12-Assumptions!$B$63/12))-Assumptions!$B$64/12)</f>
        <v>5624.9999999999991</v>
      </c>
      <c r="AD68" s="12">
        <f ca="1">MAX(0,Assumptions!$B$62*(IF(AD6&gt;=Assumptions!$B$48,1,0)*(Assumptions!$B$45*MAX(0,Assumptions!$B$44/12-Assumptions!$B$63/12)+Assumptions!$B$47*MAX(0,Assumptions!$B$46/12-Assumptions!$B$63/12))+AD62*MAX(0,Assumptions!$B$53/12-Assumptions!$B$63/12)+AD66*MAX(0,Assumptions!$B$59/12-Assumptions!$B$63/12))-Assumptions!$B$64/12)</f>
        <v>5624.9999999999991</v>
      </c>
      <c r="AE68" s="12">
        <f ca="1">MAX(0,Assumptions!$B$62*(IF(AE6&gt;=Assumptions!$B$48,1,0)*(Assumptions!$B$45*MAX(0,Assumptions!$B$44/12-Assumptions!$B$63/12)+Assumptions!$B$47*MAX(0,Assumptions!$B$46/12-Assumptions!$B$63/12))+AE62*MAX(0,Assumptions!$B$53/12-Assumptions!$B$63/12)+AE66*MAX(0,Assumptions!$B$59/12-Assumptions!$B$63/12))-Assumptions!$B$64/12)</f>
        <v>5624.9999999999991</v>
      </c>
      <c r="AF68" s="12">
        <f ca="1">MAX(0,Assumptions!$B$62*(IF(AF6&gt;=Assumptions!$B$48,1,0)*(Assumptions!$B$45*MAX(0,Assumptions!$B$44/12-Assumptions!$B$63/12)+Assumptions!$B$47*MAX(0,Assumptions!$B$46/12-Assumptions!$B$63/12))+AF62*MAX(0,Assumptions!$B$53/12-Assumptions!$B$63/12)+AF66*MAX(0,Assumptions!$B$59/12-Assumptions!$B$63/12))-Assumptions!$B$64/12)</f>
        <v>5624.9999999999991</v>
      </c>
      <c r="AG68" s="12">
        <f ca="1">MAX(0,Assumptions!$B$62*(IF(AG6&gt;=Assumptions!$B$48,1,0)*(Assumptions!$B$45*MAX(0,Assumptions!$B$44/12-Assumptions!$B$63/12)+Assumptions!$B$47*MAX(0,Assumptions!$B$46/12-Assumptions!$B$63/12))+AG62*MAX(0,Assumptions!$B$53/12-Assumptions!$B$63/12)+AG66*MAX(0,Assumptions!$B$59/12-Assumptions!$B$63/12))-Assumptions!$B$64/12)</f>
        <v>5624.9999999999991</v>
      </c>
      <c r="AH68" s="12">
        <f ca="1">MAX(0,Assumptions!$B$62*(IF(AH6&gt;=Assumptions!$B$48,1,0)*(Assumptions!$B$45*MAX(0,Assumptions!$B$44/12-Assumptions!$B$63/12)+Assumptions!$B$47*MAX(0,Assumptions!$B$46/12-Assumptions!$B$63/12))+AH62*MAX(0,Assumptions!$B$53/12-Assumptions!$B$63/12)+AH66*MAX(0,Assumptions!$B$59/12-Assumptions!$B$63/12))-Assumptions!$B$64/12)</f>
        <v>5624.9999999999991</v>
      </c>
      <c r="AI68" s="12">
        <f ca="1">MAX(0,Assumptions!$B$62*(IF(AI6&gt;=Assumptions!$B$48,1,0)*(Assumptions!$B$45*MAX(0,Assumptions!$B$44/12-Assumptions!$B$63/12)+Assumptions!$B$47*MAX(0,Assumptions!$B$46/12-Assumptions!$B$63/12))+AI62*MAX(0,Assumptions!$B$53/12-Assumptions!$B$63/12)+AI66*MAX(0,Assumptions!$B$59/12-Assumptions!$B$63/12))-Assumptions!$B$64/12)</f>
        <v>5624.9999999999991</v>
      </c>
      <c r="AJ68" s="12">
        <f ca="1">MAX(0,Assumptions!$B$62*(IF(AJ6&gt;=Assumptions!$B$48,1,0)*(Assumptions!$B$45*MAX(0,Assumptions!$B$44/12-Assumptions!$B$63/12)+Assumptions!$B$47*MAX(0,Assumptions!$B$46/12-Assumptions!$B$63/12))+AJ62*MAX(0,Assumptions!$B$53/12-Assumptions!$B$63/12)+AJ66*MAX(0,Assumptions!$B$59/12-Assumptions!$B$63/12))-Assumptions!$B$64/12)</f>
        <v>5624.9999999999991</v>
      </c>
      <c r="AK68" s="12">
        <f ca="1">MAX(0,Assumptions!$B$62*(IF(AK6&gt;=Assumptions!$B$48,1,0)*(Assumptions!$B$45*MAX(0,Assumptions!$B$44/12-Assumptions!$B$63/12)+Assumptions!$B$47*MAX(0,Assumptions!$B$46/12-Assumptions!$B$63/12))+AK62*MAX(0,Assumptions!$B$53/12-Assumptions!$B$63/12)+AK66*MAX(0,Assumptions!$B$59/12-Assumptions!$B$63/12))-Assumptions!$B$64/12)</f>
        <v>6312.4999999999991</v>
      </c>
      <c r="AL68" s="12">
        <f ca="1">MAX(0,Assumptions!$B$62*(IF(AL6&gt;=Assumptions!$B$48,1,0)*(Assumptions!$B$45*MAX(0,Assumptions!$B$44/12-Assumptions!$B$63/12)+Assumptions!$B$47*MAX(0,Assumptions!$B$46/12-Assumptions!$B$63/12))+AL62*MAX(0,Assumptions!$B$53/12-Assumptions!$B$63/12)+AL66*MAX(0,Assumptions!$B$59/12-Assumptions!$B$63/12))-Assumptions!$B$64/12)</f>
        <v>6312.4999999999991</v>
      </c>
    </row>
    <row r="69" spans="1:38" x14ac:dyDescent="0.25">
      <c r="A69" s="2" t="s">
        <v>345</v>
      </c>
      <c r="C69" s="12">
        <f ca="1">Assumptions!$B$65*(C60+C64+C67)</f>
        <v>699.99999999999989</v>
      </c>
      <c r="D69" s="12">
        <f ca="1">Assumptions!$B$65*(D60+D64+D67)</f>
        <v>699.99999999999989</v>
      </c>
      <c r="E69" s="12">
        <f ca="1">Assumptions!$B$65*(E60+E64+E67)</f>
        <v>699.99999999999989</v>
      </c>
      <c r="F69" s="12">
        <f ca="1">Assumptions!$B$65*(F60+F64+F67)</f>
        <v>699.99999999999989</v>
      </c>
      <c r="G69" s="12">
        <f ca="1">Assumptions!$B$65*(G60+G64+G67)</f>
        <v>699.99999999999989</v>
      </c>
      <c r="H69" s="12">
        <f ca="1">Assumptions!$B$65*(H60+H64+H67)</f>
        <v>699.99999999999989</v>
      </c>
      <c r="I69" s="12">
        <f ca="1">Assumptions!$B$65*(I60+I64+I67)</f>
        <v>699.99999999999989</v>
      </c>
      <c r="J69" s="12">
        <f ca="1">Assumptions!$B$65*(J60+J64+J67)</f>
        <v>699.99999999999989</v>
      </c>
      <c r="K69" s="12">
        <f ca="1">Assumptions!$B$65*(K60+K64+K67)</f>
        <v>837.49999999999989</v>
      </c>
      <c r="L69" s="12">
        <f ca="1">Assumptions!$B$65*(L60+L64+L67)</f>
        <v>837.49999999999989</v>
      </c>
      <c r="M69" s="12">
        <f ca="1">Assumptions!$B$65*(M60+M64+M67)</f>
        <v>837.49999999999989</v>
      </c>
      <c r="N69" s="12">
        <f ca="1">Assumptions!$B$65*(N60+N64+N67)</f>
        <v>837.49999999999989</v>
      </c>
      <c r="O69" s="12">
        <f ca="1">Assumptions!$B$65*(O60+O64+O67)</f>
        <v>975</v>
      </c>
      <c r="P69" s="12">
        <f ca="1">Assumptions!$B$65*(P60+P64+P67)</f>
        <v>975</v>
      </c>
      <c r="Q69" s="12">
        <f ca="1">Assumptions!$B$65*(Q60+Q64+Q67)</f>
        <v>975</v>
      </c>
      <c r="R69" s="12">
        <f ca="1">Assumptions!$B$65*(R60+R64+R67)</f>
        <v>975</v>
      </c>
      <c r="S69" s="12">
        <f ca="1">Assumptions!$B$65*(S60+S64+S67)</f>
        <v>975</v>
      </c>
      <c r="T69" s="12">
        <f ca="1">Assumptions!$B$65*(T60+T64+T67)</f>
        <v>975</v>
      </c>
      <c r="U69" s="12">
        <f ca="1">Assumptions!$B$65*(U60+U64+U67)</f>
        <v>975</v>
      </c>
      <c r="V69" s="12">
        <f ca="1">Assumptions!$B$65*(V60+V64+V67)</f>
        <v>975</v>
      </c>
      <c r="W69" s="12">
        <f ca="1">Assumptions!$B$65*(W60+W64+W67)</f>
        <v>975</v>
      </c>
      <c r="X69" s="12">
        <f ca="1">Assumptions!$B$65*(X60+X64+X67)</f>
        <v>975</v>
      </c>
      <c r="Y69" s="12">
        <f ca="1">Assumptions!$B$65*(Y60+Y64+Y67)</f>
        <v>975</v>
      </c>
      <c r="Z69" s="12">
        <f ca="1">Assumptions!$B$65*(Z60+Z64+Z67)</f>
        <v>975</v>
      </c>
      <c r="AA69" s="12">
        <f ca="1">Assumptions!$B$65*(AA60+AA64+AA67)</f>
        <v>1112.4999999999998</v>
      </c>
      <c r="AB69" s="12">
        <f ca="1">Assumptions!$B$65*(AB60+AB64+AB67)</f>
        <v>1112.4999999999998</v>
      </c>
      <c r="AC69" s="12">
        <f ca="1">Assumptions!$B$65*(AC60+AC64+AC67)</f>
        <v>1412.4999999999998</v>
      </c>
      <c r="AD69" s="12">
        <f ca="1">Assumptions!$B$65*(AD60+AD64+AD67)</f>
        <v>1412.4999999999998</v>
      </c>
      <c r="AE69" s="12">
        <f ca="1">Assumptions!$B$65*(AE60+AE64+AE67)</f>
        <v>1412.4999999999998</v>
      </c>
      <c r="AF69" s="12">
        <f ca="1">Assumptions!$B$65*(AF60+AF64+AF67)</f>
        <v>1412.4999999999998</v>
      </c>
      <c r="AG69" s="12">
        <f ca="1">Assumptions!$B$65*(AG60+AG64+AG67)</f>
        <v>1412.4999999999998</v>
      </c>
      <c r="AH69" s="12">
        <f ca="1">Assumptions!$B$65*(AH60+AH64+AH67)</f>
        <v>1412.4999999999998</v>
      </c>
      <c r="AI69" s="12">
        <f ca="1">Assumptions!$B$65*(AI60+AI64+AI67)</f>
        <v>1412.4999999999998</v>
      </c>
      <c r="AJ69" s="12">
        <f ca="1">Assumptions!$B$65*(AJ60+AJ64+AJ67)</f>
        <v>1412.4999999999998</v>
      </c>
      <c r="AK69" s="12">
        <f ca="1">Assumptions!$B$65*(AK60+AK64+AK67)</f>
        <v>1562.4999999999998</v>
      </c>
      <c r="AL69" s="12">
        <f ca="1">Assumptions!$B$65*(AL60+AL64+AL67)</f>
        <v>1562.4999999999998</v>
      </c>
    </row>
    <row r="70" spans="1:38" x14ac:dyDescent="0.25">
      <c r="A70" s="3" t="s">
        <v>346</v>
      </c>
      <c r="C70" s="42">
        <f t="shared" ref="C70:AL70" ca="1" si="28">C60+C61+C64+C65+C67+C68+C69</f>
        <v>26408.333333333332</v>
      </c>
      <c r="D70" s="42">
        <f t="shared" ca="1" si="28"/>
        <v>28408.333333333332</v>
      </c>
      <c r="E70" s="42">
        <f t="shared" ca="1" si="28"/>
        <v>28408.333333333332</v>
      </c>
      <c r="F70" s="42">
        <f t="shared" ca="1" si="28"/>
        <v>26408.333333333332</v>
      </c>
      <c r="G70" s="42">
        <f t="shared" ca="1" si="28"/>
        <v>28408.333333333332</v>
      </c>
      <c r="H70" s="42">
        <f t="shared" ca="1" si="28"/>
        <v>26408.333333333332</v>
      </c>
      <c r="I70" s="42">
        <f t="shared" ca="1" si="28"/>
        <v>28408.333333333332</v>
      </c>
      <c r="J70" s="42">
        <f t="shared" ca="1" si="28"/>
        <v>28408.333333333332</v>
      </c>
      <c r="K70" s="42">
        <f t="shared" ca="1" si="28"/>
        <v>40754.166666666664</v>
      </c>
      <c r="L70" s="42">
        <f t="shared" ca="1" si="28"/>
        <v>36254.166666666664</v>
      </c>
      <c r="M70" s="42">
        <f t="shared" ca="1" si="28"/>
        <v>31754.166666666664</v>
      </c>
      <c r="N70" s="42">
        <f t="shared" ca="1" si="28"/>
        <v>33754.166666666664</v>
      </c>
      <c r="O70" s="42">
        <f t="shared" ca="1" si="28"/>
        <v>39100</v>
      </c>
      <c r="P70" s="42">
        <f t="shared" ca="1" si="28"/>
        <v>39100</v>
      </c>
      <c r="Q70" s="42">
        <f t="shared" ca="1" si="28"/>
        <v>43600</v>
      </c>
      <c r="R70" s="42">
        <f t="shared" ca="1" si="28"/>
        <v>39100</v>
      </c>
      <c r="S70" s="42">
        <f t="shared" ca="1" si="28"/>
        <v>39100</v>
      </c>
      <c r="T70" s="42">
        <f t="shared" ca="1" si="28"/>
        <v>45600</v>
      </c>
      <c r="U70" s="42">
        <f t="shared" ca="1" si="28"/>
        <v>39100</v>
      </c>
      <c r="V70" s="42">
        <f t="shared" ca="1" si="28"/>
        <v>41100</v>
      </c>
      <c r="W70" s="42">
        <f t="shared" ca="1" si="28"/>
        <v>39100</v>
      </c>
      <c r="X70" s="42">
        <f t="shared" ca="1" si="28"/>
        <v>43600</v>
      </c>
      <c r="Y70" s="42">
        <f t="shared" ca="1" si="28"/>
        <v>45600</v>
      </c>
      <c r="Z70" s="42">
        <f t="shared" ca="1" si="28"/>
        <v>51100</v>
      </c>
      <c r="AA70" s="42">
        <f t="shared" ca="1" si="28"/>
        <v>55445.833333333328</v>
      </c>
      <c r="AB70" s="42">
        <f t="shared" ca="1" si="28"/>
        <v>44445.833333333328</v>
      </c>
      <c r="AC70" s="42">
        <f t="shared" ca="1" si="28"/>
        <v>62620.833333333328</v>
      </c>
      <c r="AD70" s="42">
        <f t="shared" ca="1" si="28"/>
        <v>62620.833333333328</v>
      </c>
      <c r="AE70" s="42">
        <f t="shared" ca="1" si="28"/>
        <v>62620.833333333328</v>
      </c>
      <c r="AF70" s="42">
        <f t="shared" ca="1" si="28"/>
        <v>62620.833333333328</v>
      </c>
      <c r="AG70" s="42">
        <f t="shared" ca="1" si="28"/>
        <v>56120.833333333328</v>
      </c>
      <c r="AH70" s="42">
        <f t="shared" ca="1" si="28"/>
        <v>64620.833333333328</v>
      </c>
      <c r="AI70" s="42">
        <f t="shared" ca="1" si="28"/>
        <v>67120.833333333328</v>
      </c>
      <c r="AJ70" s="42">
        <f t="shared" ca="1" si="28"/>
        <v>62620.833333333328</v>
      </c>
      <c r="AK70" s="42">
        <f t="shared" ca="1" si="28"/>
        <v>68458.333333333328</v>
      </c>
      <c r="AL70" s="42">
        <f t="shared" ca="1" si="28"/>
        <v>88458.333333333328</v>
      </c>
    </row>
    <row r="72" spans="1:38" x14ac:dyDescent="0.25">
      <c r="A72" s="5" t="s">
        <v>347</v>
      </c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</row>
    <row r="73" spans="1:38" x14ac:dyDescent="0.25">
      <c r="A73" s="2" t="s">
        <v>348</v>
      </c>
      <c r="C73" s="12">
        <f>C15*Assumptions!$B$68</f>
        <v>2500</v>
      </c>
      <c r="D73" s="12">
        <f>D15*Assumptions!$B$68</f>
        <v>2500</v>
      </c>
      <c r="E73" s="12">
        <f>E15*Assumptions!$B$68</f>
        <v>0</v>
      </c>
      <c r="F73" s="12">
        <f>F15*Assumptions!$B$68</f>
        <v>2500</v>
      </c>
      <c r="G73" s="12">
        <f>G15*Assumptions!$B$68</f>
        <v>2500</v>
      </c>
      <c r="H73" s="12">
        <f>H15*Assumptions!$B$68</f>
        <v>2500</v>
      </c>
      <c r="I73" s="12">
        <f>I15*Assumptions!$B$68</f>
        <v>0</v>
      </c>
      <c r="J73" s="12">
        <f>J15*Assumptions!$B$68</f>
        <v>2500</v>
      </c>
      <c r="K73" s="12">
        <f>K15*Assumptions!$B$68</f>
        <v>2500</v>
      </c>
      <c r="L73" s="12">
        <f>L15*Assumptions!$B$68</f>
        <v>2500</v>
      </c>
      <c r="M73" s="12">
        <f>M15*Assumptions!$B$68</f>
        <v>0</v>
      </c>
      <c r="N73" s="12">
        <f>N15*Assumptions!$B$68</f>
        <v>2500</v>
      </c>
      <c r="O73" s="12">
        <f>O15*Assumptions!$B$68</f>
        <v>5000</v>
      </c>
      <c r="P73" s="12">
        <f>P15*Assumptions!$B$68</f>
        <v>5000</v>
      </c>
      <c r="Q73" s="12">
        <f>Q15*Assumptions!$B$68</f>
        <v>7500</v>
      </c>
      <c r="R73" s="12">
        <f>R15*Assumptions!$B$68</f>
        <v>5000</v>
      </c>
      <c r="S73" s="12">
        <f>S15*Assumptions!$B$68</f>
        <v>5000</v>
      </c>
      <c r="T73" s="12">
        <f>T15*Assumptions!$B$68</f>
        <v>5000</v>
      </c>
      <c r="U73" s="12">
        <f>U15*Assumptions!$B$68</f>
        <v>5000</v>
      </c>
      <c r="V73" s="12">
        <f>V15*Assumptions!$B$68</f>
        <v>7500</v>
      </c>
      <c r="W73" s="12">
        <f>W15*Assumptions!$B$68</f>
        <v>5000</v>
      </c>
      <c r="X73" s="12">
        <f>X15*Assumptions!$B$68</f>
        <v>5000</v>
      </c>
      <c r="Y73" s="12">
        <f>Y15*Assumptions!$B$68</f>
        <v>5000</v>
      </c>
      <c r="Z73" s="12">
        <f>Z15*Assumptions!$B$68</f>
        <v>5000</v>
      </c>
      <c r="AA73" s="12">
        <f>AA15*Assumptions!$B$68</f>
        <v>10000</v>
      </c>
      <c r="AB73" s="12">
        <f>AB15*Assumptions!$B$68</f>
        <v>7500</v>
      </c>
      <c r="AC73" s="12">
        <f>AC15*Assumptions!$B$68</f>
        <v>7500</v>
      </c>
      <c r="AD73" s="12">
        <f>AD15*Assumptions!$B$68</f>
        <v>7500</v>
      </c>
      <c r="AE73" s="12">
        <f>AE15*Assumptions!$B$68</f>
        <v>10000</v>
      </c>
      <c r="AF73" s="12">
        <f>AF15*Assumptions!$B$68</f>
        <v>7500</v>
      </c>
      <c r="AG73" s="12">
        <f>AG15*Assumptions!$B$68</f>
        <v>7500</v>
      </c>
      <c r="AH73" s="12">
        <f>AH15*Assumptions!$B$68</f>
        <v>10000</v>
      </c>
      <c r="AI73" s="12">
        <f>AI15*Assumptions!$B$68</f>
        <v>7500</v>
      </c>
      <c r="AJ73" s="12">
        <f>AJ15*Assumptions!$B$68</f>
        <v>7500</v>
      </c>
      <c r="AK73" s="12">
        <f>AK15*Assumptions!$B$68</f>
        <v>10000</v>
      </c>
      <c r="AL73" s="12">
        <f>AL15*Assumptions!$B$68</f>
        <v>7500</v>
      </c>
    </row>
    <row r="74" spans="1:38" x14ac:dyDescent="0.25">
      <c r="A74" s="2" t="s">
        <v>349</v>
      </c>
      <c r="C74" s="12">
        <f>Assumptions!$B$69</f>
        <v>700</v>
      </c>
      <c r="D74" s="12">
        <f>Assumptions!$B$69</f>
        <v>700</v>
      </c>
      <c r="E74" s="12">
        <f>Assumptions!$B$69</f>
        <v>700</v>
      </c>
      <c r="F74" s="12">
        <f>Assumptions!$B$69</f>
        <v>700</v>
      </c>
      <c r="G74" s="12">
        <f>Assumptions!$B$69</f>
        <v>700</v>
      </c>
      <c r="H74" s="12">
        <f>Assumptions!$B$69</f>
        <v>700</v>
      </c>
      <c r="I74" s="12">
        <f>Assumptions!$B$69</f>
        <v>700</v>
      </c>
      <c r="J74" s="12">
        <f>Assumptions!$B$69</f>
        <v>700</v>
      </c>
      <c r="K74" s="12">
        <f>Assumptions!$B$69</f>
        <v>700</v>
      </c>
      <c r="L74" s="12">
        <f>Assumptions!$B$69</f>
        <v>700</v>
      </c>
      <c r="M74" s="12">
        <f>Assumptions!$B$69</f>
        <v>700</v>
      </c>
      <c r="N74" s="12">
        <f>Assumptions!$B$69</f>
        <v>700</v>
      </c>
      <c r="O74" s="12">
        <f>Assumptions!$B$69</f>
        <v>700</v>
      </c>
      <c r="P74" s="12">
        <f>Assumptions!$B$69</f>
        <v>700</v>
      </c>
      <c r="Q74" s="12">
        <f>Assumptions!$B$69</f>
        <v>700</v>
      </c>
      <c r="R74" s="12">
        <f>Assumptions!$B$69</f>
        <v>700</v>
      </c>
      <c r="S74" s="12">
        <f>Assumptions!$B$69</f>
        <v>700</v>
      </c>
      <c r="T74" s="12">
        <f>Assumptions!$B$69</f>
        <v>700</v>
      </c>
      <c r="U74" s="12">
        <f>Assumptions!$B$69</f>
        <v>700</v>
      </c>
      <c r="V74" s="12">
        <f>Assumptions!$B$69</f>
        <v>700</v>
      </c>
      <c r="W74" s="12">
        <f>Assumptions!$B$69</f>
        <v>700</v>
      </c>
      <c r="X74" s="12">
        <f>Assumptions!$B$69</f>
        <v>700</v>
      </c>
      <c r="Y74" s="12">
        <f>Assumptions!$B$69</f>
        <v>700</v>
      </c>
      <c r="Z74" s="12">
        <f>Assumptions!$B$69</f>
        <v>700</v>
      </c>
      <c r="AA74" s="12">
        <f>Assumptions!$B$69</f>
        <v>700</v>
      </c>
      <c r="AB74" s="12">
        <f>Assumptions!$B$69</f>
        <v>700</v>
      </c>
      <c r="AC74" s="12">
        <f>Assumptions!$B$69</f>
        <v>700</v>
      </c>
      <c r="AD74" s="12">
        <f>Assumptions!$B$69</f>
        <v>700</v>
      </c>
      <c r="AE74" s="12">
        <f>Assumptions!$B$69</f>
        <v>700</v>
      </c>
      <c r="AF74" s="12">
        <f>Assumptions!$B$69</f>
        <v>700</v>
      </c>
      <c r="AG74" s="12">
        <f>Assumptions!$B$69</f>
        <v>700</v>
      </c>
      <c r="AH74" s="12">
        <f>Assumptions!$B$69</f>
        <v>700</v>
      </c>
      <c r="AI74" s="12">
        <f>Assumptions!$B$69</f>
        <v>700</v>
      </c>
      <c r="AJ74" s="12">
        <f>Assumptions!$B$69</f>
        <v>700</v>
      </c>
      <c r="AK74" s="12">
        <f>Assumptions!$B$69</f>
        <v>700</v>
      </c>
      <c r="AL74" s="12">
        <f>Assumptions!$B$69</f>
        <v>700</v>
      </c>
    </row>
    <row r="75" spans="1:38" x14ac:dyDescent="0.25">
      <c r="A75" s="2" t="s">
        <v>350</v>
      </c>
      <c r="C75" s="12">
        <f ca="1">C38*Assumptions!$B$70+C42*Assumptions!$B$71+(C43+C44)*Assumptions!$B$72</f>
        <v>0</v>
      </c>
      <c r="D75" s="12">
        <f ca="1">D38*Assumptions!$B$70+D42*Assumptions!$B$71+(D43+D44)*Assumptions!$B$72</f>
        <v>50</v>
      </c>
      <c r="E75" s="12">
        <f ca="1">E38*Assumptions!$B$70+E42*Assumptions!$B$71+(E43+E44)*Assumptions!$B$72</f>
        <v>100</v>
      </c>
      <c r="F75" s="12">
        <f ca="1">F38*Assumptions!$B$70+F42*Assumptions!$B$71+(F43+F44)*Assumptions!$B$72</f>
        <v>100</v>
      </c>
      <c r="G75" s="12">
        <f ca="1">G38*Assumptions!$B$70+G42*Assumptions!$B$71+(G43+G44)*Assumptions!$B$72</f>
        <v>150</v>
      </c>
      <c r="H75" s="12">
        <f ca="1">H38*Assumptions!$B$70+H42*Assumptions!$B$71+(H43+H44)*Assumptions!$B$72</f>
        <v>150</v>
      </c>
      <c r="I75" s="12">
        <f ca="1">I38*Assumptions!$B$70+I42*Assumptions!$B$71+(I43+I44)*Assumptions!$B$72</f>
        <v>200</v>
      </c>
      <c r="J75" s="12">
        <f ca="1">J38*Assumptions!$B$70+J42*Assumptions!$B$71+(J43+J44)*Assumptions!$B$72</f>
        <v>250</v>
      </c>
      <c r="K75" s="12">
        <f ca="1">K38*Assumptions!$B$70+K42*Assumptions!$B$71+(K43+K44)*Assumptions!$B$72</f>
        <v>750</v>
      </c>
      <c r="L75" s="12">
        <f ca="1">L38*Assumptions!$B$70+L42*Assumptions!$B$71+(L43+L44)*Assumptions!$B$72</f>
        <v>1000</v>
      </c>
      <c r="M75" s="12">
        <f ca="1">M38*Assumptions!$B$70+M42*Assumptions!$B$71+(M43+M44)*Assumptions!$B$72</f>
        <v>1000</v>
      </c>
      <c r="N75" s="12">
        <f ca="1">N38*Assumptions!$B$70+N42*Assumptions!$B$71+(N43+N44)*Assumptions!$B$72</f>
        <v>1050</v>
      </c>
      <c r="O75" s="12">
        <f ca="1">O38*Assumptions!$B$70+O42*Assumptions!$B$71+(O43+O44)*Assumptions!$B$72</f>
        <v>1100</v>
      </c>
      <c r="P75" s="12">
        <f ca="1">P38*Assumptions!$B$70+P42*Assumptions!$B$71+(P43+P44)*Assumptions!$B$72</f>
        <v>1150</v>
      </c>
      <c r="Q75" s="12">
        <f ca="1">Q38*Assumptions!$B$70+Q42*Assumptions!$B$71+(Q43+Q44)*Assumptions!$B$72</f>
        <v>1450</v>
      </c>
      <c r="R75" s="12">
        <f ca="1">R38*Assumptions!$B$70+R42*Assumptions!$B$71+(R43+R44)*Assumptions!$B$72</f>
        <v>1450</v>
      </c>
      <c r="S75" s="12">
        <f ca="1">S38*Assumptions!$B$70+S42*Assumptions!$B$71+(S43+S44)*Assumptions!$B$72</f>
        <v>1500</v>
      </c>
      <c r="T75" s="12">
        <f ca="1">T38*Assumptions!$B$70+T42*Assumptions!$B$71+(T43+T44)*Assumptions!$B$72</f>
        <v>1850</v>
      </c>
      <c r="U75" s="12">
        <f ca="1">U38*Assumptions!$B$70+U42*Assumptions!$B$71+(U43+U44)*Assumptions!$B$72</f>
        <v>1900</v>
      </c>
      <c r="V75" s="12">
        <f ca="1">V38*Assumptions!$B$70+V42*Assumptions!$B$71+(V43+V44)*Assumptions!$B$72</f>
        <v>2000</v>
      </c>
      <c r="W75" s="12">
        <f ca="1">W38*Assumptions!$B$70+W42*Assumptions!$B$71+(W43+W44)*Assumptions!$B$72</f>
        <v>2050</v>
      </c>
      <c r="X75" s="12">
        <f ca="1">X38*Assumptions!$B$70+X42*Assumptions!$B$71+(X43+X44)*Assumptions!$B$72</f>
        <v>2350</v>
      </c>
      <c r="Y75" s="12">
        <f ca="1">Y38*Assumptions!$B$70+Y42*Assumptions!$B$71+(Y43+Y44)*Assumptions!$B$72</f>
        <v>2700</v>
      </c>
      <c r="Z75" s="12">
        <f ca="1">Z38*Assumptions!$B$70+Z42*Assumptions!$B$71+(Z43+Z44)*Assumptions!$B$72</f>
        <v>3450</v>
      </c>
      <c r="AA75" s="12">
        <f ca="1">AA38*Assumptions!$B$70+AA42*Assumptions!$B$71+(AA43+AA44)*Assumptions!$B$72</f>
        <v>4050</v>
      </c>
      <c r="AB75" s="12">
        <f ca="1">AB38*Assumptions!$B$70+AB42*Assumptions!$B$71+(AB43+AB44)*Assumptions!$B$72</f>
        <v>4100</v>
      </c>
      <c r="AC75" s="12">
        <f ca="1">AC38*Assumptions!$B$70+AC42*Assumptions!$B$71+(AC43+AC44)*Assumptions!$B$72</f>
        <v>4450</v>
      </c>
      <c r="AD75" s="12">
        <f ca="1">AD38*Assumptions!$B$70+AD42*Assumptions!$B$71+(AD43+AD44)*Assumptions!$B$72</f>
        <v>4800</v>
      </c>
      <c r="AE75" s="12">
        <f ca="1">AE38*Assumptions!$B$70+AE42*Assumptions!$B$71+(AE43+AE44)*Assumptions!$B$72</f>
        <v>5100</v>
      </c>
      <c r="AF75" s="12">
        <f ca="1">AF38*Assumptions!$B$70+AF42*Assumptions!$B$71+(AF43+AF44)*Assumptions!$B$72</f>
        <v>5200</v>
      </c>
      <c r="AG75" s="12">
        <f ca="1">AG38*Assumptions!$B$70+AG42*Assumptions!$B$71+(AG43+AG44)*Assumptions!$B$72</f>
        <v>5250</v>
      </c>
      <c r="AH75" s="12">
        <f ca="1">AH38*Assumptions!$B$70+AH42*Assumptions!$B$71+(AH43+AH44)*Assumptions!$B$72</f>
        <v>5650</v>
      </c>
      <c r="AI75" s="12">
        <f ca="1">AI38*Assumptions!$B$70+AI42*Assumptions!$B$71+(AI43+AI44)*Assumptions!$B$72</f>
        <v>6200</v>
      </c>
      <c r="AJ75" s="12">
        <f ca="1">AJ38*Assumptions!$B$70+AJ42*Assumptions!$B$71+(AJ43+AJ44)*Assumptions!$B$72</f>
        <v>6550</v>
      </c>
      <c r="AK75" s="12">
        <f ca="1">AK38*Assumptions!$B$70+AK42*Assumptions!$B$71+(AK43+AK44)*Assumptions!$B$72</f>
        <v>6900</v>
      </c>
      <c r="AL75" s="12">
        <f ca="1">AL38*Assumptions!$B$70+AL42*Assumptions!$B$71+(AL43+AL44)*Assumptions!$B$72</f>
        <v>7950</v>
      </c>
    </row>
    <row r="76" spans="1:38" x14ac:dyDescent="0.25">
      <c r="A76" s="2" t="s">
        <v>351</v>
      </c>
      <c r="C76" s="12">
        <f ca="1">C30*Assumptions!$B$73+C32*Assumptions!$B$74+(C45+C46)*Assumptions!$B$75</f>
        <v>0</v>
      </c>
      <c r="D76" s="12">
        <f ca="1">D30*Assumptions!$B$73+D32*Assumptions!$B$74+(D45+D46)*Assumptions!$B$75</f>
        <v>750</v>
      </c>
      <c r="E76" s="12">
        <f ca="1">E30*Assumptions!$B$73+E32*Assumptions!$B$74+(E45+E46)*Assumptions!$B$75</f>
        <v>750</v>
      </c>
      <c r="F76" s="12">
        <f ca="1">F30*Assumptions!$B$73+F32*Assumptions!$B$74+(F45+F46)*Assumptions!$B$75</f>
        <v>0</v>
      </c>
      <c r="G76" s="12">
        <f ca="1">G30*Assumptions!$B$73+G32*Assumptions!$B$74+(G45+G46)*Assumptions!$B$75</f>
        <v>750</v>
      </c>
      <c r="H76" s="12">
        <f ca="1">H30*Assumptions!$B$73+H32*Assumptions!$B$74+(H45+H46)*Assumptions!$B$75</f>
        <v>0</v>
      </c>
      <c r="I76" s="12">
        <f ca="1">I30*Assumptions!$B$73+I32*Assumptions!$B$74+(I45+I46)*Assumptions!$B$75</f>
        <v>750</v>
      </c>
      <c r="J76" s="12">
        <f ca="1">J30*Assumptions!$B$73+J32*Assumptions!$B$74+(J45+J46)*Assumptions!$B$75</f>
        <v>750</v>
      </c>
      <c r="K76" s="12">
        <f ca="1">K30*Assumptions!$B$73+K32*Assumptions!$B$74+(K45+K46)*Assumptions!$B$75</f>
        <v>10000</v>
      </c>
      <c r="L76" s="12">
        <f ca="1">L30*Assumptions!$B$73+L32*Assumptions!$B$74+(L45+L46)*Assumptions!$B$75</f>
        <v>5000</v>
      </c>
      <c r="M76" s="12">
        <f ca="1">M30*Assumptions!$B$73+M32*Assumptions!$B$74+(M45+M46)*Assumptions!$B$75</f>
        <v>0</v>
      </c>
      <c r="N76" s="12">
        <f ca="1">N30*Assumptions!$B$73+N32*Assumptions!$B$74+(N45+N46)*Assumptions!$B$75</f>
        <v>750</v>
      </c>
      <c r="O76" s="12">
        <f ca="1">O30*Assumptions!$B$73+O32*Assumptions!$B$74+(O45+O46)*Assumptions!$B$75</f>
        <v>750</v>
      </c>
      <c r="P76" s="12">
        <f ca="1">P30*Assumptions!$B$73+P32*Assumptions!$B$74+(P45+P46)*Assumptions!$B$75</f>
        <v>750</v>
      </c>
      <c r="Q76" s="12">
        <f ca="1">Q30*Assumptions!$B$73+Q32*Assumptions!$B$74+(Q45+Q46)*Assumptions!$B$75</f>
        <v>5750</v>
      </c>
      <c r="R76" s="12">
        <f ca="1">R30*Assumptions!$B$73+R32*Assumptions!$B$74+(R45+R46)*Assumptions!$B$75</f>
        <v>750</v>
      </c>
      <c r="S76" s="12">
        <f ca="1">S30*Assumptions!$B$73+S32*Assumptions!$B$74+(S45+S46)*Assumptions!$B$75</f>
        <v>750</v>
      </c>
      <c r="T76" s="12">
        <f ca="1">T30*Assumptions!$B$73+T32*Assumptions!$B$74+(T45+T46)*Assumptions!$B$75</f>
        <v>6500</v>
      </c>
      <c r="U76" s="12">
        <f ca="1">U30*Assumptions!$B$73+U32*Assumptions!$B$74+(U45+U46)*Assumptions!$B$75</f>
        <v>750</v>
      </c>
      <c r="V76" s="12">
        <f ca="1">V30*Assumptions!$B$73+V32*Assumptions!$B$74+(V45+V46)*Assumptions!$B$75</f>
        <v>1500</v>
      </c>
      <c r="W76" s="12">
        <f ca="1">W30*Assumptions!$B$73+W32*Assumptions!$B$74+(W45+W46)*Assumptions!$B$75</f>
        <v>750</v>
      </c>
      <c r="X76" s="12">
        <f ca="1">X30*Assumptions!$B$73+X32*Assumptions!$B$74+(X45+X46)*Assumptions!$B$75</f>
        <v>5750</v>
      </c>
      <c r="Y76" s="12">
        <f ca="1">Y30*Assumptions!$B$73+Y32*Assumptions!$B$74+(Y45+Y46)*Assumptions!$B$75</f>
        <v>6500</v>
      </c>
      <c r="Z76" s="12">
        <f ca="1">Z30*Assumptions!$B$73+Z32*Assumptions!$B$74+(Z45+Z46)*Assumptions!$B$75</f>
        <v>15750</v>
      </c>
      <c r="AA76" s="12">
        <f ca="1">AA30*Assumptions!$B$73+AA32*Assumptions!$B$74+(AA45+AA46)*Assumptions!$B$75</f>
        <v>11500</v>
      </c>
      <c r="AB76" s="12">
        <f ca="1">AB30*Assumptions!$B$73+AB32*Assumptions!$B$74+(AB45+AB46)*Assumptions!$B$75</f>
        <v>750</v>
      </c>
      <c r="AC76" s="12">
        <f ca="1">AC30*Assumptions!$B$73+AC32*Assumptions!$B$74+(AC45+AC46)*Assumptions!$B$75</f>
        <v>6500</v>
      </c>
      <c r="AD76" s="12">
        <f ca="1">AD30*Assumptions!$B$73+AD32*Assumptions!$B$74+(AD45+AD46)*Assumptions!$B$75</f>
        <v>6500</v>
      </c>
      <c r="AE76" s="12">
        <f ca="1">AE30*Assumptions!$B$73+AE32*Assumptions!$B$74+(AE45+AE46)*Assumptions!$B$75</f>
        <v>6500</v>
      </c>
      <c r="AF76" s="12">
        <f ca="1">AF30*Assumptions!$B$73+AF32*Assumptions!$B$74+(AF45+AF46)*Assumptions!$B$75</f>
        <v>6500</v>
      </c>
      <c r="AG76" s="12">
        <f ca="1">AG30*Assumptions!$B$73+AG32*Assumptions!$B$74+(AG45+AG46)*Assumptions!$B$75</f>
        <v>750</v>
      </c>
      <c r="AH76" s="12">
        <f ca="1">AH30*Assumptions!$B$73+AH32*Assumptions!$B$74+(AH45+AH46)*Assumptions!$B$75</f>
        <v>7250</v>
      </c>
      <c r="AI76" s="12">
        <f ca="1">AI30*Assumptions!$B$73+AI32*Assumptions!$B$74+(AI45+AI46)*Assumptions!$B$75</f>
        <v>11500</v>
      </c>
      <c r="AJ76" s="12">
        <f ca="1">AJ30*Assumptions!$B$73+AJ32*Assumptions!$B$74+(AJ45+AJ46)*Assumptions!$B$75</f>
        <v>6500</v>
      </c>
      <c r="AK76" s="12">
        <f ca="1">AK30*Assumptions!$B$73+AK32*Assumptions!$B$74+(AK45+AK46)*Assumptions!$B$75</f>
        <v>6500</v>
      </c>
      <c r="AL76" s="12">
        <f ca="1">AL30*Assumptions!$B$73+AL32*Assumptions!$B$74+(AL45+AL46)*Assumptions!$B$75</f>
        <v>21500</v>
      </c>
    </row>
    <row r="77" spans="1:38" x14ac:dyDescent="0.25">
      <c r="A77" s="3" t="s">
        <v>352</v>
      </c>
      <c r="C77" s="42">
        <f t="shared" ref="C77:AL77" ca="1" si="29">SUM(C73:C76)</f>
        <v>3200</v>
      </c>
      <c r="D77" s="42">
        <f t="shared" ca="1" si="29"/>
        <v>4000</v>
      </c>
      <c r="E77" s="42">
        <f t="shared" ca="1" si="29"/>
        <v>1550</v>
      </c>
      <c r="F77" s="42">
        <f t="shared" ca="1" si="29"/>
        <v>3300</v>
      </c>
      <c r="G77" s="42">
        <f t="shared" ca="1" si="29"/>
        <v>4100</v>
      </c>
      <c r="H77" s="42">
        <f t="shared" ca="1" si="29"/>
        <v>3350</v>
      </c>
      <c r="I77" s="42">
        <f t="shared" ca="1" si="29"/>
        <v>1650</v>
      </c>
      <c r="J77" s="42">
        <f t="shared" ca="1" si="29"/>
        <v>4200</v>
      </c>
      <c r="K77" s="42">
        <f t="shared" ca="1" si="29"/>
        <v>13950</v>
      </c>
      <c r="L77" s="42">
        <f t="shared" ca="1" si="29"/>
        <v>9200</v>
      </c>
      <c r="M77" s="42">
        <f t="shared" ca="1" si="29"/>
        <v>1700</v>
      </c>
      <c r="N77" s="42">
        <f t="shared" ca="1" si="29"/>
        <v>5000</v>
      </c>
      <c r="O77" s="42">
        <f t="shared" ca="1" si="29"/>
        <v>7550</v>
      </c>
      <c r="P77" s="42">
        <f t="shared" ca="1" si="29"/>
        <v>7600</v>
      </c>
      <c r="Q77" s="42">
        <f t="shared" ca="1" si="29"/>
        <v>15400</v>
      </c>
      <c r="R77" s="42">
        <f t="shared" ca="1" si="29"/>
        <v>7900</v>
      </c>
      <c r="S77" s="42">
        <f t="shared" ca="1" si="29"/>
        <v>7950</v>
      </c>
      <c r="T77" s="42">
        <f t="shared" ca="1" si="29"/>
        <v>14050</v>
      </c>
      <c r="U77" s="42">
        <f t="shared" ca="1" si="29"/>
        <v>8350</v>
      </c>
      <c r="V77" s="42">
        <f t="shared" ca="1" si="29"/>
        <v>11700</v>
      </c>
      <c r="W77" s="42">
        <f t="shared" ca="1" si="29"/>
        <v>8500</v>
      </c>
      <c r="X77" s="42">
        <f t="shared" ca="1" si="29"/>
        <v>13800</v>
      </c>
      <c r="Y77" s="42">
        <f t="shared" ca="1" si="29"/>
        <v>14900</v>
      </c>
      <c r="Z77" s="42">
        <f t="shared" ca="1" si="29"/>
        <v>24900</v>
      </c>
      <c r="AA77" s="42">
        <f t="shared" ca="1" si="29"/>
        <v>26250</v>
      </c>
      <c r="AB77" s="42">
        <f t="shared" ca="1" si="29"/>
        <v>13050</v>
      </c>
      <c r="AC77" s="42">
        <f t="shared" ca="1" si="29"/>
        <v>19150</v>
      </c>
      <c r="AD77" s="42">
        <f t="shared" ca="1" si="29"/>
        <v>19500</v>
      </c>
      <c r="AE77" s="42">
        <f t="shared" ca="1" si="29"/>
        <v>22300</v>
      </c>
      <c r="AF77" s="42">
        <f t="shared" ca="1" si="29"/>
        <v>19900</v>
      </c>
      <c r="AG77" s="42">
        <f t="shared" ca="1" si="29"/>
        <v>14200</v>
      </c>
      <c r="AH77" s="42">
        <f t="shared" ca="1" si="29"/>
        <v>23600</v>
      </c>
      <c r="AI77" s="42">
        <f t="shared" ca="1" si="29"/>
        <v>25900</v>
      </c>
      <c r="AJ77" s="42">
        <f t="shared" ca="1" si="29"/>
        <v>21250</v>
      </c>
      <c r="AK77" s="42">
        <f t="shared" ca="1" si="29"/>
        <v>24100</v>
      </c>
      <c r="AL77" s="42">
        <f t="shared" ca="1" si="29"/>
        <v>37650</v>
      </c>
    </row>
    <row r="79" spans="1:38" x14ac:dyDescent="0.25">
      <c r="A79" s="5" t="s">
        <v>353</v>
      </c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</row>
    <row r="80" spans="1:38" x14ac:dyDescent="0.25">
      <c r="A80" s="2" t="s">
        <v>354</v>
      </c>
      <c r="C80" s="12">
        <f>Assumptions!$B$78</f>
        <v>1950</v>
      </c>
      <c r="D80" s="12">
        <f>Assumptions!$B$78</f>
        <v>1950</v>
      </c>
      <c r="E80" s="12">
        <f>Assumptions!$B$78</f>
        <v>1950</v>
      </c>
      <c r="F80" s="12">
        <f>Assumptions!$B$78</f>
        <v>1950</v>
      </c>
      <c r="G80" s="12">
        <f>Assumptions!$B$78</f>
        <v>1950</v>
      </c>
      <c r="H80" s="12">
        <f>Assumptions!$B$78</f>
        <v>1950</v>
      </c>
      <c r="I80" s="12">
        <f>Assumptions!$B$78</f>
        <v>1950</v>
      </c>
      <c r="J80" s="12">
        <f>Assumptions!$B$78</f>
        <v>1950</v>
      </c>
      <c r="K80" s="12">
        <f>Assumptions!$B$78</f>
        <v>1950</v>
      </c>
      <c r="L80" s="12">
        <f>Assumptions!$B$78</f>
        <v>1950</v>
      </c>
      <c r="M80" s="12">
        <f>Assumptions!$B$78</f>
        <v>1950</v>
      </c>
      <c r="N80" s="12">
        <f>Assumptions!$B$78</f>
        <v>1950</v>
      </c>
      <c r="O80" s="12">
        <f>Assumptions!$B$78</f>
        <v>1950</v>
      </c>
      <c r="P80" s="12">
        <f>Assumptions!$B$78</f>
        <v>1950</v>
      </c>
      <c r="Q80" s="12">
        <f>Assumptions!$B$78</f>
        <v>1950</v>
      </c>
      <c r="R80" s="12">
        <f>Assumptions!$B$78</f>
        <v>1950</v>
      </c>
      <c r="S80" s="12">
        <f>Assumptions!$B$78</f>
        <v>1950</v>
      </c>
      <c r="T80" s="12">
        <f>Assumptions!$B$78</f>
        <v>1950</v>
      </c>
      <c r="U80" s="12">
        <f>Assumptions!$B$78</f>
        <v>1950</v>
      </c>
      <c r="V80" s="12">
        <f>Assumptions!$B$78</f>
        <v>1950</v>
      </c>
      <c r="W80" s="12">
        <f>Assumptions!$B$78</f>
        <v>1950</v>
      </c>
      <c r="X80" s="12">
        <f>Assumptions!$B$78</f>
        <v>1950</v>
      </c>
      <c r="Y80" s="12">
        <f>Assumptions!$B$78</f>
        <v>1950</v>
      </c>
      <c r="Z80" s="12">
        <f>Assumptions!$B$78</f>
        <v>1950</v>
      </c>
      <c r="AA80" s="12">
        <f>Assumptions!$B$78</f>
        <v>1950</v>
      </c>
      <c r="AB80" s="12">
        <f>Assumptions!$B$78</f>
        <v>1950</v>
      </c>
      <c r="AC80" s="12">
        <f>Assumptions!$B$78</f>
        <v>1950</v>
      </c>
      <c r="AD80" s="12">
        <f>Assumptions!$B$78</f>
        <v>1950</v>
      </c>
      <c r="AE80" s="12">
        <f>Assumptions!$B$78</f>
        <v>1950</v>
      </c>
      <c r="AF80" s="12">
        <f>Assumptions!$B$78</f>
        <v>1950</v>
      </c>
      <c r="AG80" s="12">
        <f>Assumptions!$B$78</f>
        <v>1950</v>
      </c>
      <c r="AH80" s="12">
        <f>Assumptions!$B$78</f>
        <v>1950</v>
      </c>
      <c r="AI80" s="12">
        <f>Assumptions!$B$78</f>
        <v>1950</v>
      </c>
      <c r="AJ80" s="12">
        <f>Assumptions!$B$78</f>
        <v>1950</v>
      </c>
      <c r="AK80" s="12">
        <f>Assumptions!$B$78</f>
        <v>1950</v>
      </c>
      <c r="AL80" s="12">
        <f>Assumptions!$B$78</f>
        <v>1950</v>
      </c>
    </row>
    <row r="81" spans="1:38" x14ac:dyDescent="0.25">
      <c r="A81" s="2" t="s">
        <v>355</v>
      </c>
      <c r="C81" s="12">
        <f>Assumptions!$B$79+Assumptions!$B$80*C62</f>
        <v>1200</v>
      </c>
      <c r="D81" s="12">
        <f>Assumptions!$B$79+Assumptions!$B$80*D62</f>
        <v>1200</v>
      </c>
      <c r="E81" s="12">
        <f>Assumptions!$B$79+Assumptions!$B$80*E62</f>
        <v>1200</v>
      </c>
      <c r="F81" s="12">
        <f>Assumptions!$B$79+Assumptions!$B$80*F62</f>
        <v>1200</v>
      </c>
      <c r="G81" s="12">
        <f>Assumptions!$B$79+Assumptions!$B$80*G62</f>
        <v>1200</v>
      </c>
      <c r="H81" s="12">
        <f>Assumptions!$B$79+Assumptions!$B$80*H62</f>
        <v>1200</v>
      </c>
      <c r="I81" s="12">
        <f>Assumptions!$B$79+Assumptions!$B$80*I62</f>
        <v>1200</v>
      </c>
      <c r="J81" s="12">
        <f>Assumptions!$B$79+Assumptions!$B$80*J62</f>
        <v>1200</v>
      </c>
      <c r="K81" s="12">
        <f>Assumptions!$B$79+Assumptions!$B$80*K62</f>
        <v>1950</v>
      </c>
      <c r="L81" s="12">
        <f>Assumptions!$B$79+Assumptions!$B$80*L62</f>
        <v>1950</v>
      </c>
      <c r="M81" s="12">
        <f>Assumptions!$B$79+Assumptions!$B$80*M62</f>
        <v>1950</v>
      </c>
      <c r="N81" s="12">
        <f>Assumptions!$B$79+Assumptions!$B$80*N62</f>
        <v>1950</v>
      </c>
      <c r="O81" s="12">
        <f>Assumptions!$B$79+Assumptions!$B$80*O62</f>
        <v>2700</v>
      </c>
      <c r="P81" s="12">
        <f>Assumptions!$B$79+Assumptions!$B$80*P62</f>
        <v>2700</v>
      </c>
      <c r="Q81" s="12">
        <f>Assumptions!$B$79+Assumptions!$B$80*Q62</f>
        <v>2700</v>
      </c>
      <c r="R81" s="12">
        <f>Assumptions!$B$79+Assumptions!$B$80*R62</f>
        <v>2700</v>
      </c>
      <c r="S81" s="12">
        <f>Assumptions!$B$79+Assumptions!$B$80*S62</f>
        <v>2700</v>
      </c>
      <c r="T81" s="12">
        <f>Assumptions!$B$79+Assumptions!$B$80*T62</f>
        <v>2700</v>
      </c>
      <c r="U81" s="12">
        <f>Assumptions!$B$79+Assumptions!$B$80*U62</f>
        <v>2700</v>
      </c>
      <c r="V81" s="12">
        <f>Assumptions!$B$79+Assumptions!$B$80*V62</f>
        <v>2700</v>
      </c>
      <c r="W81" s="12">
        <f>Assumptions!$B$79+Assumptions!$B$80*W62</f>
        <v>2700</v>
      </c>
      <c r="X81" s="12">
        <f>Assumptions!$B$79+Assumptions!$B$80*X62</f>
        <v>2700</v>
      </c>
      <c r="Y81" s="12">
        <f>Assumptions!$B$79+Assumptions!$B$80*Y62</f>
        <v>2700</v>
      </c>
      <c r="Z81" s="12">
        <f>Assumptions!$B$79+Assumptions!$B$80*Z62</f>
        <v>2700</v>
      </c>
      <c r="AA81" s="12">
        <f>Assumptions!$B$79+Assumptions!$B$80*AA62</f>
        <v>3450</v>
      </c>
      <c r="AB81" s="12">
        <f>Assumptions!$B$79+Assumptions!$B$80*AB62</f>
        <v>3450</v>
      </c>
      <c r="AC81" s="12">
        <f>Assumptions!$B$79+Assumptions!$B$80*AC62</f>
        <v>3450</v>
      </c>
      <c r="AD81" s="12">
        <f>Assumptions!$B$79+Assumptions!$B$80*AD62</f>
        <v>3450</v>
      </c>
      <c r="AE81" s="12">
        <f>Assumptions!$B$79+Assumptions!$B$80*AE62</f>
        <v>3450</v>
      </c>
      <c r="AF81" s="12">
        <f>Assumptions!$B$79+Assumptions!$B$80*AF62</f>
        <v>3450</v>
      </c>
      <c r="AG81" s="12">
        <f>Assumptions!$B$79+Assumptions!$B$80*AG62</f>
        <v>3450</v>
      </c>
      <c r="AH81" s="12">
        <f>Assumptions!$B$79+Assumptions!$B$80*AH62</f>
        <v>3450</v>
      </c>
      <c r="AI81" s="12">
        <f>Assumptions!$B$79+Assumptions!$B$80*AI62</f>
        <v>3450</v>
      </c>
      <c r="AJ81" s="12">
        <f>Assumptions!$B$79+Assumptions!$B$80*AJ62</f>
        <v>3450</v>
      </c>
      <c r="AK81" s="12">
        <f>Assumptions!$B$79+Assumptions!$B$80*AK62</f>
        <v>3450</v>
      </c>
      <c r="AL81" s="12">
        <f>Assumptions!$B$79+Assumptions!$B$80*AL62</f>
        <v>3450</v>
      </c>
    </row>
    <row r="82" spans="1:38" x14ac:dyDescent="0.25">
      <c r="A82" s="2" t="s">
        <v>356</v>
      </c>
      <c r="C82" s="12">
        <f>IF(OR(C6=Assumptions!$B$89,AND(Assumptions!$B$88=1,OR(C6=Assumptions!$B$89+12,C6=Assumptions!$B$89+24))),Assumptions!$B$90,0)+IF(OR(C6=Assumptions!$B$91,AND(Assumptions!$B$88=1,OR(C6=Assumptions!$B$91+12,C6=Assumptions!$B$91+24))),Assumptions!$B$92,0)+IF(OR(C6=Assumptions!$B$93,AND(Assumptions!$B$88=1,OR(C6=Assumptions!$B$93+12,C6=Assumptions!$B$93+24))),Assumptions!$B$94,0)+IF(OR(C6=Assumptions!$B$95,AND(Assumptions!$B$88=1,OR(C6=Assumptions!$B$95+12,C6=Assumptions!$B$95+24))),Assumptions!$B$96,0)+IF(OR(C6=Assumptions!$B$97,AND(Assumptions!$B$88=1,OR(C6=Assumptions!$B$97+12,C6=Assumptions!$B$97+24))),Assumptions!$B$98,0)+IF(OR(C6=Assumptions!$B$99,AND(Assumptions!$B$88=1,OR(C6=Assumptions!$B$99+12,C6=Assumptions!$B$99+24))),Assumptions!$B$100,0)+IF(OR(C6=Assumptions!$B$101,AND(Assumptions!$B$88=1,OR(C6=Assumptions!$B$101+12,C6=Assumptions!$B$101+24))),Assumptions!$B$102,0)+IF(OR(C6=Assumptions!$B$103,AND(Assumptions!$B$88=1,OR(C6=Assumptions!$B$103+12,C6=Assumptions!$B$103+24))),Assumptions!$B$104,0)</f>
        <v>0</v>
      </c>
      <c r="D82" s="12">
        <f>IF(OR(D6=Assumptions!$B$89,AND(Assumptions!$B$88=1,OR(D6=Assumptions!$B$89+12,D6=Assumptions!$B$89+24))),Assumptions!$B$90,0)+IF(OR(D6=Assumptions!$B$91,AND(Assumptions!$B$88=1,OR(D6=Assumptions!$B$91+12,D6=Assumptions!$B$91+24))),Assumptions!$B$92,0)+IF(OR(D6=Assumptions!$B$93,AND(Assumptions!$B$88=1,OR(D6=Assumptions!$B$93+12,D6=Assumptions!$B$93+24))),Assumptions!$B$94,0)+IF(OR(D6=Assumptions!$B$95,AND(Assumptions!$B$88=1,OR(D6=Assumptions!$B$95+12,D6=Assumptions!$B$95+24))),Assumptions!$B$96,0)+IF(OR(D6=Assumptions!$B$97,AND(Assumptions!$B$88=1,OR(D6=Assumptions!$B$97+12,D6=Assumptions!$B$97+24))),Assumptions!$B$98,0)+IF(OR(D6=Assumptions!$B$99,AND(Assumptions!$B$88=1,OR(D6=Assumptions!$B$99+12,D6=Assumptions!$B$99+24))),Assumptions!$B$100,0)+IF(OR(D6=Assumptions!$B$101,AND(Assumptions!$B$88=1,OR(D6=Assumptions!$B$101+12,D6=Assumptions!$B$101+24))),Assumptions!$B$102,0)+IF(OR(D6=Assumptions!$B$103,AND(Assumptions!$B$88=1,OR(D6=Assumptions!$B$103+12,D6=Assumptions!$B$103+24))),Assumptions!$B$104,0)</f>
        <v>0</v>
      </c>
      <c r="E82" s="12">
        <f>IF(OR(E6=Assumptions!$B$89,AND(Assumptions!$B$88=1,OR(E6=Assumptions!$B$89+12,E6=Assumptions!$B$89+24))),Assumptions!$B$90,0)+IF(OR(E6=Assumptions!$B$91,AND(Assumptions!$B$88=1,OR(E6=Assumptions!$B$91+12,E6=Assumptions!$B$91+24))),Assumptions!$B$92,0)+IF(OR(E6=Assumptions!$B$93,AND(Assumptions!$B$88=1,OR(E6=Assumptions!$B$93+12,E6=Assumptions!$B$93+24))),Assumptions!$B$94,0)+IF(OR(E6=Assumptions!$B$95,AND(Assumptions!$B$88=1,OR(E6=Assumptions!$B$95+12,E6=Assumptions!$B$95+24))),Assumptions!$B$96,0)+IF(OR(E6=Assumptions!$B$97,AND(Assumptions!$B$88=1,OR(E6=Assumptions!$B$97+12,E6=Assumptions!$B$97+24))),Assumptions!$B$98,0)+IF(OR(E6=Assumptions!$B$99,AND(Assumptions!$B$88=1,OR(E6=Assumptions!$B$99+12,E6=Assumptions!$B$99+24))),Assumptions!$B$100,0)+IF(OR(E6=Assumptions!$B$101,AND(Assumptions!$B$88=1,OR(E6=Assumptions!$B$101+12,E6=Assumptions!$B$101+24))),Assumptions!$B$102,0)+IF(OR(E6=Assumptions!$B$103,AND(Assumptions!$B$88=1,OR(E6=Assumptions!$B$103+12,E6=Assumptions!$B$103+24))),Assumptions!$B$104,0)</f>
        <v>7800</v>
      </c>
      <c r="F82" s="12">
        <f>IF(OR(F6=Assumptions!$B$89,AND(Assumptions!$B$88=1,OR(F6=Assumptions!$B$89+12,F6=Assumptions!$B$89+24))),Assumptions!$B$90,0)+IF(OR(F6=Assumptions!$B$91,AND(Assumptions!$B$88=1,OR(F6=Assumptions!$B$91+12,F6=Assumptions!$B$91+24))),Assumptions!$B$92,0)+IF(OR(F6=Assumptions!$B$93,AND(Assumptions!$B$88=1,OR(F6=Assumptions!$B$93+12,F6=Assumptions!$B$93+24))),Assumptions!$B$94,0)+IF(OR(F6=Assumptions!$B$95,AND(Assumptions!$B$88=1,OR(F6=Assumptions!$B$95+12,F6=Assumptions!$B$95+24))),Assumptions!$B$96,0)+IF(OR(F6=Assumptions!$B$97,AND(Assumptions!$B$88=1,OR(F6=Assumptions!$B$97+12,F6=Assumptions!$B$97+24))),Assumptions!$B$98,0)+IF(OR(F6=Assumptions!$B$99,AND(Assumptions!$B$88=1,OR(F6=Assumptions!$B$99+12,F6=Assumptions!$B$99+24))),Assumptions!$B$100,0)+IF(OR(F6=Assumptions!$B$101,AND(Assumptions!$B$88=1,OR(F6=Assumptions!$B$101+12,F6=Assumptions!$B$101+24))),Assumptions!$B$102,0)+IF(OR(F6=Assumptions!$B$103,AND(Assumptions!$B$88=1,OR(F6=Assumptions!$B$103+12,F6=Assumptions!$B$103+24))),Assumptions!$B$104,0)</f>
        <v>0</v>
      </c>
      <c r="G82" s="12">
        <f>IF(OR(G6=Assumptions!$B$89,AND(Assumptions!$B$88=1,OR(G6=Assumptions!$B$89+12,G6=Assumptions!$B$89+24))),Assumptions!$B$90,0)+IF(OR(G6=Assumptions!$B$91,AND(Assumptions!$B$88=1,OR(G6=Assumptions!$B$91+12,G6=Assumptions!$B$91+24))),Assumptions!$B$92,0)+IF(OR(G6=Assumptions!$B$93,AND(Assumptions!$B$88=1,OR(G6=Assumptions!$B$93+12,G6=Assumptions!$B$93+24))),Assumptions!$B$94,0)+IF(OR(G6=Assumptions!$B$95,AND(Assumptions!$B$88=1,OR(G6=Assumptions!$B$95+12,G6=Assumptions!$B$95+24))),Assumptions!$B$96,0)+IF(OR(G6=Assumptions!$B$97,AND(Assumptions!$B$88=1,OR(G6=Assumptions!$B$97+12,G6=Assumptions!$B$97+24))),Assumptions!$B$98,0)+IF(OR(G6=Assumptions!$B$99,AND(Assumptions!$B$88=1,OR(G6=Assumptions!$B$99+12,G6=Assumptions!$B$99+24))),Assumptions!$B$100,0)+IF(OR(G6=Assumptions!$B$101,AND(Assumptions!$B$88=1,OR(G6=Assumptions!$B$101+12,G6=Assumptions!$B$101+24))),Assumptions!$B$102,0)+IF(OR(G6=Assumptions!$B$103,AND(Assumptions!$B$88=1,OR(G6=Assumptions!$B$103+12,G6=Assumptions!$B$103+24))),Assumptions!$B$104,0)</f>
        <v>5000</v>
      </c>
      <c r="H82" s="12">
        <f>IF(OR(H6=Assumptions!$B$89,AND(Assumptions!$B$88=1,OR(H6=Assumptions!$B$89+12,H6=Assumptions!$B$89+24))),Assumptions!$B$90,0)+IF(OR(H6=Assumptions!$B$91,AND(Assumptions!$B$88=1,OR(H6=Assumptions!$B$91+12,H6=Assumptions!$B$91+24))),Assumptions!$B$92,0)+IF(OR(H6=Assumptions!$B$93,AND(Assumptions!$B$88=1,OR(H6=Assumptions!$B$93+12,H6=Assumptions!$B$93+24))),Assumptions!$B$94,0)+IF(OR(H6=Assumptions!$B$95,AND(Assumptions!$B$88=1,OR(H6=Assumptions!$B$95+12,H6=Assumptions!$B$95+24))),Assumptions!$B$96,0)+IF(OR(H6=Assumptions!$B$97,AND(Assumptions!$B$88=1,OR(H6=Assumptions!$B$97+12,H6=Assumptions!$B$97+24))),Assumptions!$B$98,0)+IF(OR(H6=Assumptions!$B$99,AND(Assumptions!$B$88=1,OR(H6=Assumptions!$B$99+12,H6=Assumptions!$B$99+24))),Assumptions!$B$100,0)+IF(OR(H6=Assumptions!$B$101,AND(Assumptions!$B$88=1,OR(H6=Assumptions!$B$101+12,H6=Assumptions!$B$101+24))),Assumptions!$B$102,0)+IF(OR(H6=Assumptions!$B$103,AND(Assumptions!$B$88=1,OR(H6=Assumptions!$B$103+12,H6=Assumptions!$B$103+24))),Assumptions!$B$104,0)</f>
        <v>1000</v>
      </c>
      <c r="I82" s="12">
        <f>IF(OR(I6=Assumptions!$B$89,AND(Assumptions!$B$88=1,OR(I6=Assumptions!$B$89+12,I6=Assumptions!$B$89+24))),Assumptions!$B$90,0)+IF(OR(I6=Assumptions!$B$91,AND(Assumptions!$B$88=1,OR(I6=Assumptions!$B$91+12,I6=Assumptions!$B$91+24))),Assumptions!$B$92,0)+IF(OR(I6=Assumptions!$B$93,AND(Assumptions!$B$88=1,OR(I6=Assumptions!$B$93+12,I6=Assumptions!$B$93+24))),Assumptions!$B$94,0)+IF(OR(I6=Assumptions!$B$95,AND(Assumptions!$B$88=1,OR(I6=Assumptions!$B$95+12,I6=Assumptions!$B$95+24))),Assumptions!$B$96,0)+IF(OR(I6=Assumptions!$B$97,AND(Assumptions!$B$88=1,OR(I6=Assumptions!$B$97+12,I6=Assumptions!$B$97+24))),Assumptions!$B$98,0)+IF(OR(I6=Assumptions!$B$99,AND(Assumptions!$B$88=1,OR(I6=Assumptions!$B$99+12,I6=Assumptions!$B$99+24))),Assumptions!$B$100,0)+IF(OR(I6=Assumptions!$B$101,AND(Assumptions!$B$88=1,OR(I6=Assumptions!$B$101+12,I6=Assumptions!$B$101+24))),Assumptions!$B$102,0)+IF(OR(I6=Assumptions!$B$103,AND(Assumptions!$B$88=1,OR(I6=Assumptions!$B$103+12,I6=Assumptions!$B$103+24))),Assumptions!$B$104,0)</f>
        <v>0</v>
      </c>
      <c r="J82" s="12">
        <f>IF(OR(J6=Assumptions!$B$89,AND(Assumptions!$B$88=1,OR(J6=Assumptions!$B$89+12,J6=Assumptions!$B$89+24))),Assumptions!$B$90,0)+IF(OR(J6=Assumptions!$B$91,AND(Assumptions!$B$88=1,OR(J6=Assumptions!$B$91+12,J6=Assumptions!$B$91+24))),Assumptions!$B$92,0)+IF(OR(J6=Assumptions!$B$93,AND(Assumptions!$B$88=1,OR(J6=Assumptions!$B$93+12,J6=Assumptions!$B$93+24))),Assumptions!$B$94,0)+IF(OR(J6=Assumptions!$B$95,AND(Assumptions!$B$88=1,OR(J6=Assumptions!$B$95+12,J6=Assumptions!$B$95+24))),Assumptions!$B$96,0)+IF(OR(J6=Assumptions!$B$97,AND(Assumptions!$B$88=1,OR(J6=Assumptions!$B$97+12,J6=Assumptions!$B$97+24))),Assumptions!$B$98,0)+IF(OR(J6=Assumptions!$B$99,AND(Assumptions!$B$88=1,OR(J6=Assumptions!$B$99+12,J6=Assumptions!$B$99+24))),Assumptions!$B$100,0)+IF(OR(J6=Assumptions!$B$101,AND(Assumptions!$B$88=1,OR(J6=Assumptions!$B$101+12,J6=Assumptions!$B$101+24))),Assumptions!$B$102,0)+IF(OR(J6=Assumptions!$B$103,AND(Assumptions!$B$88=1,OR(J6=Assumptions!$B$103+12,J6=Assumptions!$B$103+24))),Assumptions!$B$104,0)</f>
        <v>0</v>
      </c>
      <c r="K82" s="12">
        <f>IF(OR(K6=Assumptions!$B$89,AND(Assumptions!$B$88=1,OR(K6=Assumptions!$B$89+12,K6=Assumptions!$B$89+24))),Assumptions!$B$90,0)+IF(OR(K6=Assumptions!$B$91,AND(Assumptions!$B$88=1,OR(K6=Assumptions!$B$91+12,K6=Assumptions!$B$91+24))),Assumptions!$B$92,0)+IF(OR(K6=Assumptions!$B$93,AND(Assumptions!$B$88=1,OR(K6=Assumptions!$B$93+12,K6=Assumptions!$B$93+24))),Assumptions!$B$94,0)+IF(OR(K6=Assumptions!$B$95,AND(Assumptions!$B$88=1,OR(K6=Assumptions!$B$95+12,K6=Assumptions!$B$95+24))),Assumptions!$B$96,0)+IF(OR(K6=Assumptions!$B$97,AND(Assumptions!$B$88=1,OR(K6=Assumptions!$B$97+12,K6=Assumptions!$B$97+24))),Assumptions!$B$98,0)+IF(OR(K6=Assumptions!$B$99,AND(Assumptions!$B$88=1,OR(K6=Assumptions!$B$99+12,K6=Assumptions!$B$99+24))),Assumptions!$B$100,0)+IF(OR(K6=Assumptions!$B$101,AND(Assumptions!$B$88=1,OR(K6=Assumptions!$B$101+12,K6=Assumptions!$B$101+24))),Assumptions!$B$102,0)+IF(OR(K6=Assumptions!$B$103,AND(Assumptions!$B$88=1,OR(K6=Assumptions!$B$103+12,K6=Assumptions!$B$103+24))),Assumptions!$B$104,0)</f>
        <v>3000</v>
      </c>
      <c r="L82" s="12">
        <f>IF(OR(L6=Assumptions!$B$89,AND(Assumptions!$B$88=1,OR(L6=Assumptions!$B$89+12,L6=Assumptions!$B$89+24))),Assumptions!$B$90,0)+IF(OR(L6=Assumptions!$B$91,AND(Assumptions!$B$88=1,OR(L6=Assumptions!$B$91+12,L6=Assumptions!$B$91+24))),Assumptions!$B$92,0)+IF(OR(L6=Assumptions!$B$93,AND(Assumptions!$B$88=1,OR(L6=Assumptions!$B$93+12,L6=Assumptions!$B$93+24))),Assumptions!$B$94,0)+IF(OR(L6=Assumptions!$B$95,AND(Assumptions!$B$88=1,OR(L6=Assumptions!$B$95+12,L6=Assumptions!$B$95+24))),Assumptions!$B$96,0)+IF(OR(L6=Assumptions!$B$97,AND(Assumptions!$B$88=1,OR(L6=Assumptions!$B$97+12,L6=Assumptions!$B$97+24))),Assumptions!$B$98,0)+IF(OR(L6=Assumptions!$B$99,AND(Assumptions!$B$88=1,OR(L6=Assumptions!$B$99+12,L6=Assumptions!$B$99+24))),Assumptions!$B$100,0)+IF(OR(L6=Assumptions!$B$101,AND(Assumptions!$B$88=1,OR(L6=Assumptions!$B$101+12,L6=Assumptions!$B$101+24))),Assumptions!$B$102,0)+IF(OR(L6=Assumptions!$B$103,AND(Assumptions!$B$88=1,OR(L6=Assumptions!$B$103+12,L6=Assumptions!$B$103+24))),Assumptions!$B$104,0)</f>
        <v>1500</v>
      </c>
      <c r="M82" s="12">
        <f>IF(OR(M6=Assumptions!$B$89,AND(Assumptions!$B$88=1,OR(M6=Assumptions!$B$89+12,M6=Assumptions!$B$89+24))),Assumptions!$B$90,0)+IF(OR(M6=Assumptions!$B$91,AND(Assumptions!$B$88=1,OR(M6=Assumptions!$B$91+12,M6=Assumptions!$B$91+24))),Assumptions!$B$92,0)+IF(OR(M6=Assumptions!$B$93,AND(Assumptions!$B$88=1,OR(M6=Assumptions!$B$93+12,M6=Assumptions!$B$93+24))),Assumptions!$B$94,0)+IF(OR(M6=Assumptions!$B$95,AND(Assumptions!$B$88=1,OR(M6=Assumptions!$B$95+12,M6=Assumptions!$B$95+24))),Assumptions!$B$96,0)+IF(OR(M6=Assumptions!$B$97,AND(Assumptions!$B$88=1,OR(M6=Assumptions!$B$97+12,M6=Assumptions!$B$97+24))),Assumptions!$B$98,0)+IF(OR(M6=Assumptions!$B$99,AND(Assumptions!$B$88=1,OR(M6=Assumptions!$B$99+12,M6=Assumptions!$B$99+24))),Assumptions!$B$100,0)+IF(OR(M6=Assumptions!$B$101,AND(Assumptions!$B$88=1,OR(M6=Assumptions!$B$101+12,M6=Assumptions!$B$101+24))),Assumptions!$B$102,0)+IF(OR(M6=Assumptions!$B$103,AND(Assumptions!$B$88=1,OR(M6=Assumptions!$B$103+12,M6=Assumptions!$B$103+24))),Assumptions!$B$104,0)</f>
        <v>0</v>
      </c>
      <c r="N82" s="12">
        <f>IF(OR(N6=Assumptions!$B$89,AND(Assumptions!$B$88=1,OR(N6=Assumptions!$B$89+12,N6=Assumptions!$B$89+24))),Assumptions!$B$90,0)+IF(OR(N6=Assumptions!$B$91,AND(Assumptions!$B$88=1,OR(N6=Assumptions!$B$91+12,N6=Assumptions!$B$91+24))),Assumptions!$B$92,0)+IF(OR(N6=Assumptions!$B$93,AND(Assumptions!$B$88=1,OR(N6=Assumptions!$B$93+12,N6=Assumptions!$B$93+24))),Assumptions!$B$94,0)+IF(OR(N6=Assumptions!$B$95,AND(Assumptions!$B$88=1,OR(N6=Assumptions!$B$95+12,N6=Assumptions!$B$95+24))),Assumptions!$B$96,0)+IF(OR(N6=Assumptions!$B$97,AND(Assumptions!$B$88=1,OR(N6=Assumptions!$B$97+12,N6=Assumptions!$B$97+24))),Assumptions!$B$98,0)+IF(OR(N6=Assumptions!$B$99,AND(Assumptions!$B$88=1,OR(N6=Assumptions!$B$99+12,N6=Assumptions!$B$99+24))),Assumptions!$B$100,0)+IF(OR(N6=Assumptions!$B$101,AND(Assumptions!$B$88=1,OR(N6=Assumptions!$B$101+12,N6=Assumptions!$B$101+24))),Assumptions!$B$102,0)+IF(OR(N6=Assumptions!$B$103,AND(Assumptions!$B$88=1,OR(N6=Assumptions!$B$103+12,N6=Assumptions!$B$103+24))),Assumptions!$B$104,0)</f>
        <v>0</v>
      </c>
      <c r="O82" s="12">
        <f>IF(OR(O6=Assumptions!$B$89,AND(Assumptions!$B$88=1,OR(O6=Assumptions!$B$89+12,O6=Assumptions!$B$89+24))),Assumptions!$B$90,0)+IF(OR(O6=Assumptions!$B$91,AND(Assumptions!$B$88=1,OR(O6=Assumptions!$B$91+12,O6=Assumptions!$B$91+24))),Assumptions!$B$92,0)+IF(OR(O6=Assumptions!$B$93,AND(Assumptions!$B$88=1,OR(O6=Assumptions!$B$93+12,O6=Assumptions!$B$93+24))),Assumptions!$B$94,0)+IF(OR(O6=Assumptions!$B$95,AND(Assumptions!$B$88=1,OR(O6=Assumptions!$B$95+12,O6=Assumptions!$B$95+24))),Assumptions!$B$96,0)+IF(OR(O6=Assumptions!$B$97,AND(Assumptions!$B$88=1,OR(O6=Assumptions!$B$97+12,O6=Assumptions!$B$97+24))),Assumptions!$B$98,0)+IF(OR(O6=Assumptions!$B$99,AND(Assumptions!$B$88=1,OR(O6=Assumptions!$B$99+12,O6=Assumptions!$B$99+24))),Assumptions!$B$100,0)+IF(OR(O6=Assumptions!$B$101,AND(Assumptions!$B$88=1,OR(O6=Assumptions!$B$101+12,O6=Assumptions!$B$101+24))),Assumptions!$B$102,0)+IF(OR(O6=Assumptions!$B$103,AND(Assumptions!$B$88=1,OR(O6=Assumptions!$B$103+12,O6=Assumptions!$B$103+24))),Assumptions!$B$104,0)</f>
        <v>0</v>
      </c>
      <c r="P82" s="12">
        <f>IF(OR(P6=Assumptions!$B$89,AND(Assumptions!$B$88=1,OR(P6=Assumptions!$B$89+12,P6=Assumptions!$B$89+24))),Assumptions!$B$90,0)+IF(OR(P6=Assumptions!$B$91,AND(Assumptions!$B$88=1,OR(P6=Assumptions!$B$91+12,P6=Assumptions!$B$91+24))),Assumptions!$B$92,0)+IF(OR(P6=Assumptions!$B$93,AND(Assumptions!$B$88=1,OR(P6=Assumptions!$B$93+12,P6=Assumptions!$B$93+24))),Assumptions!$B$94,0)+IF(OR(P6=Assumptions!$B$95,AND(Assumptions!$B$88=1,OR(P6=Assumptions!$B$95+12,P6=Assumptions!$B$95+24))),Assumptions!$B$96,0)+IF(OR(P6=Assumptions!$B$97,AND(Assumptions!$B$88=1,OR(P6=Assumptions!$B$97+12,P6=Assumptions!$B$97+24))),Assumptions!$B$98,0)+IF(OR(P6=Assumptions!$B$99,AND(Assumptions!$B$88=1,OR(P6=Assumptions!$B$99+12,P6=Assumptions!$B$99+24))),Assumptions!$B$100,0)+IF(OR(P6=Assumptions!$B$101,AND(Assumptions!$B$88=1,OR(P6=Assumptions!$B$101+12,P6=Assumptions!$B$101+24))),Assumptions!$B$102,0)+IF(OR(P6=Assumptions!$B$103,AND(Assumptions!$B$88=1,OR(P6=Assumptions!$B$103+12,P6=Assumptions!$B$103+24))),Assumptions!$B$104,0)</f>
        <v>0</v>
      </c>
      <c r="Q82" s="12">
        <f>IF(OR(Q6=Assumptions!$B$89,AND(Assumptions!$B$88=1,OR(Q6=Assumptions!$B$89+12,Q6=Assumptions!$B$89+24))),Assumptions!$B$90,0)+IF(OR(Q6=Assumptions!$B$91,AND(Assumptions!$B$88=1,OR(Q6=Assumptions!$B$91+12,Q6=Assumptions!$B$91+24))),Assumptions!$B$92,0)+IF(OR(Q6=Assumptions!$B$93,AND(Assumptions!$B$88=1,OR(Q6=Assumptions!$B$93+12,Q6=Assumptions!$B$93+24))),Assumptions!$B$94,0)+IF(OR(Q6=Assumptions!$B$95,AND(Assumptions!$B$88=1,OR(Q6=Assumptions!$B$95+12,Q6=Assumptions!$B$95+24))),Assumptions!$B$96,0)+IF(OR(Q6=Assumptions!$B$97,AND(Assumptions!$B$88=1,OR(Q6=Assumptions!$B$97+12,Q6=Assumptions!$B$97+24))),Assumptions!$B$98,0)+IF(OR(Q6=Assumptions!$B$99,AND(Assumptions!$B$88=1,OR(Q6=Assumptions!$B$99+12,Q6=Assumptions!$B$99+24))),Assumptions!$B$100,0)+IF(OR(Q6=Assumptions!$B$101,AND(Assumptions!$B$88=1,OR(Q6=Assumptions!$B$101+12,Q6=Assumptions!$B$101+24))),Assumptions!$B$102,0)+IF(OR(Q6=Assumptions!$B$103,AND(Assumptions!$B$88=1,OR(Q6=Assumptions!$B$103+12,Q6=Assumptions!$B$103+24))),Assumptions!$B$104,0)</f>
        <v>7800</v>
      </c>
      <c r="R82" s="12">
        <f>IF(OR(R6=Assumptions!$B$89,AND(Assumptions!$B$88=1,OR(R6=Assumptions!$B$89+12,R6=Assumptions!$B$89+24))),Assumptions!$B$90,0)+IF(OR(R6=Assumptions!$B$91,AND(Assumptions!$B$88=1,OR(R6=Assumptions!$B$91+12,R6=Assumptions!$B$91+24))),Assumptions!$B$92,0)+IF(OR(R6=Assumptions!$B$93,AND(Assumptions!$B$88=1,OR(R6=Assumptions!$B$93+12,R6=Assumptions!$B$93+24))),Assumptions!$B$94,0)+IF(OR(R6=Assumptions!$B$95,AND(Assumptions!$B$88=1,OR(R6=Assumptions!$B$95+12,R6=Assumptions!$B$95+24))),Assumptions!$B$96,0)+IF(OR(R6=Assumptions!$B$97,AND(Assumptions!$B$88=1,OR(R6=Assumptions!$B$97+12,R6=Assumptions!$B$97+24))),Assumptions!$B$98,0)+IF(OR(R6=Assumptions!$B$99,AND(Assumptions!$B$88=1,OR(R6=Assumptions!$B$99+12,R6=Assumptions!$B$99+24))),Assumptions!$B$100,0)+IF(OR(R6=Assumptions!$B$101,AND(Assumptions!$B$88=1,OR(R6=Assumptions!$B$101+12,R6=Assumptions!$B$101+24))),Assumptions!$B$102,0)+IF(OR(R6=Assumptions!$B$103,AND(Assumptions!$B$88=1,OR(R6=Assumptions!$B$103+12,R6=Assumptions!$B$103+24))),Assumptions!$B$104,0)</f>
        <v>0</v>
      </c>
      <c r="S82" s="12">
        <f>IF(OR(S6=Assumptions!$B$89,AND(Assumptions!$B$88=1,OR(S6=Assumptions!$B$89+12,S6=Assumptions!$B$89+24))),Assumptions!$B$90,0)+IF(OR(S6=Assumptions!$B$91,AND(Assumptions!$B$88=1,OR(S6=Assumptions!$B$91+12,S6=Assumptions!$B$91+24))),Assumptions!$B$92,0)+IF(OR(S6=Assumptions!$B$93,AND(Assumptions!$B$88=1,OR(S6=Assumptions!$B$93+12,S6=Assumptions!$B$93+24))),Assumptions!$B$94,0)+IF(OR(S6=Assumptions!$B$95,AND(Assumptions!$B$88=1,OR(S6=Assumptions!$B$95+12,S6=Assumptions!$B$95+24))),Assumptions!$B$96,0)+IF(OR(S6=Assumptions!$B$97,AND(Assumptions!$B$88=1,OR(S6=Assumptions!$B$97+12,S6=Assumptions!$B$97+24))),Assumptions!$B$98,0)+IF(OR(S6=Assumptions!$B$99,AND(Assumptions!$B$88=1,OR(S6=Assumptions!$B$99+12,S6=Assumptions!$B$99+24))),Assumptions!$B$100,0)+IF(OR(S6=Assumptions!$B$101,AND(Assumptions!$B$88=1,OR(S6=Assumptions!$B$101+12,S6=Assumptions!$B$101+24))),Assumptions!$B$102,0)+IF(OR(S6=Assumptions!$B$103,AND(Assumptions!$B$88=1,OR(S6=Assumptions!$B$103+12,S6=Assumptions!$B$103+24))),Assumptions!$B$104,0)</f>
        <v>5000</v>
      </c>
      <c r="T82" s="12">
        <f>IF(OR(T6=Assumptions!$B$89,AND(Assumptions!$B$88=1,OR(T6=Assumptions!$B$89+12,T6=Assumptions!$B$89+24))),Assumptions!$B$90,0)+IF(OR(T6=Assumptions!$B$91,AND(Assumptions!$B$88=1,OR(T6=Assumptions!$B$91+12,T6=Assumptions!$B$91+24))),Assumptions!$B$92,0)+IF(OR(T6=Assumptions!$B$93,AND(Assumptions!$B$88=1,OR(T6=Assumptions!$B$93+12,T6=Assumptions!$B$93+24))),Assumptions!$B$94,0)+IF(OR(T6=Assumptions!$B$95,AND(Assumptions!$B$88=1,OR(T6=Assumptions!$B$95+12,T6=Assumptions!$B$95+24))),Assumptions!$B$96,0)+IF(OR(T6=Assumptions!$B$97,AND(Assumptions!$B$88=1,OR(T6=Assumptions!$B$97+12,T6=Assumptions!$B$97+24))),Assumptions!$B$98,0)+IF(OR(T6=Assumptions!$B$99,AND(Assumptions!$B$88=1,OR(T6=Assumptions!$B$99+12,T6=Assumptions!$B$99+24))),Assumptions!$B$100,0)+IF(OR(T6=Assumptions!$B$101,AND(Assumptions!$B$88=1,OR(T6=Assumptions!$B$101+12,T6=Assumptions!$B$101+24))),Assumptions!$B$102,0)+IF(OR(T6=Assumptions!$B$103,AND(Assumptions!$B$88=1,OR(T6=Assumptions!$B$103+12,T6=Assumptions!$B$103+24))),Assumptions!$B$104,0)</f>
        <v>1000</v>
      </c>
      <c r="U82" s="12">
        <f>IF(OR(U6=Assumptions!$B$89,AND(Assumptions!$B$88=1,OR(U6=Assumptions!$B$89+12,U6=Assumptions!$B$89+24))),Assumptions!$B$90,0)+IF(OR(U6=Assumptions!$B$91,AND(Assumptions!$B$88=1,OR(U6=Assumptions!$B$91+12,U6=Assumptions!$B$91+24))),Assumptions!$B$92,0)+IF(OR(U6=Assumptions!$B$93,AND(Assumptions!$B$88=1,OR(U6=Assumptions!$B$93+12,U6=Assumptions!$B$93+24))),Assumptions!$B$94,0)+IF(OR(U6=Assumptions!$B$95,AND(Assumptions!$B$88=1,OR(U6=Assumptions!$B$95+12,U6=Assumptions!$B$95+24))),Assumptions!$B$96,0)+IF(OR(U6=Assumptions!$B$97,AND(Assumptions!$B$88=1,OR(U6=Assumptions!$B$97+12,U6=Assumptions!$B$97+24))),Assumptions!$B$98,0)+IF(OR(U6=Assumptions!$B$99,AND(Assumptions!$B$88=1,OR(U6=Assumptions!$B$99+12,U6=Assumptions!$B$99+24))),Assumptions!$B$100,0)+IF(OR(U6=Assumptions!$B$101,AND(Assumptions!$B$88=1,OR(U6=Assumptions!$B$101+12,U6=Assumptions!$B$101+24))),Assumptions!$B$102,0)+IF(OR(U6=Assumptions!$B$103,AND(Assumptions!$B$88=1,OR(U6=Assumptions!$B$103+12,U6=Assumptions!$B$103+24))),Assumptions!$B$104,0)</f>
        <v>0</v>
      </c>
      <c r="V82" s="12">
        <f>IF(OR(V6=Assumptions!$B$89,AND(Assumptions!$B$88=1,OR(V6=Assumptions!$B$89+12,V6=Assumptions!$B$89+24))),Assumptions!$B$90,0)+IF(OR(V6=Assumptions!$B$91,AND(Assumptions!$B$88=1,OR(V6=Assumptions!$B$91+12,V6=Assumptions!$B$91+24))),Assumptions!$B$92,0)+IF(OR(V6=Assumptions!$B$93,AND(Assumptions!$B$88=1,OR(V6=Assumptions!$B$93+12,V6=Assumptions!$B$93+24))),Assumptions!$B$94,0)+IF(OR(V6=Assumptions!$B$95,AND(Assumptions!$B$88=1,OR(V6=Assumptions!$B$95+12,V6=Assumptions!$B$95+24))),Assumptions!$B$96,0)+IF(OR(V6=Assumptions!$B$97,AND(Assumptions!$B$88=1,OR(V6=Assumptions!$B$97+12,V6=Assumptions!$B$97+24))),Assumptions!$B$98,0)+IF(OR(V6=Assumptions!$B$99,AND(Assumptions!$B$88=1,OR(V6=Assumptions!$B$99+12,V6=Assumptions!$B$99+24))),Assumptions!$B$100,0)+IF(OR(V6=Assumptions!$B$101,AND(Assumptions!$B$88=1,OR(V6=Assumptions!$B$101+12,V6=Assumptions!$B$101+24))),Assumptions!$B$102,0)+IF(OR(V6=Assumptions!$B$103,AND(Assumptions!$B$88=1,OR(V6=Assumptions!$B$103+12,V6=Assumptions!$B$103+24))),Assumptions!$B$104,0)</f>
        <v>0</v>
      </c>
      <c r="W82" s="12">
        <f>IF(OR(W6=Assumptions!$B$89,AND(Assumptions!$B$88=1,OR(W6=Assumptions!$B$89+12,W6=Assumptions!$B$89+24))),Assumptions!$B$90,0)+IF(OR(W6=Assumptions!$B$91,AND(Assumptions!$B$88=1,OR(W6=Assumptions!$B$91+12,W6=Assumptions!$B$91+24))),Assumptions!$B$92,0)+IF(OR(W6=Assumptions!$B$93,AND(Assumptions!$B$88=1,OR(W6=Assumptions!$B$93+12,W6=Assumptions!$B$93+24))),Assumptions!$B$94,0)+IF(OR(W6=Assumptions!$B$95,AND(Assumptions!$B$88=1,OR(W6=Assumptions!$B$95+12,W6=Assumptions!$B$95+24))),Assumptions!$B$96,0)+IF(OR(W6=Assumptions!$B$97,AND(Assumptions!$B$88=1,OR(W6=Assumptions!$B$97+12,W6=Assumptions!$B$97+24))),Assumptions!$B$98,0)+IF(OR(W6=Assumptions!$B$99,AND(Assumptions!$B$88=1,OR(W6=Assumptions!$B$99+12,W6=Assumptions!$B$99+24))),Assumptions!$B$100,0)+IF(OR(W6=Assumptions!$B$101,AND(Assumptions!$B$88=1,OR(W6=Assumptions!$B$101+12,W6=Assumptions!$B$101+24))),Assumptions!$B$102,0)+IF(OR(W6=Assumptions!$B$103,AND(Assumptions!$B$88=1,OR(W6=Assumptions!$B$103+12,W6=Assumptions!$B$103+24))),Assumptions!$B$104,0)</f>
        <v>3000</v>
      </c>
      <c r="X82" s="12">
        <f>IF(OR(X6=Assumptions!$B$89,AND(Assumptions!$B$88=1,OR(X6=Assumptions!$B$89+12,X6=Assumptions!$B$89+24))),Assumptions!$B$90,0)+IF(OR(X6=Assumptions!$B$91,AND(Assumptions!$B$88=1,OR(X6=Assumptions!$B$91+12,X6=Assumptions!$B$91+24))),Assumptions!$B$92,0)+IF(OR(X6=Assumptions!$B$93,AND(Assumptions!$B$88=1,OR(X6=Assumptions!$B$93+12,X6=Assumptions!$B$93+24))),Assumptions!$B$94,0)+IF(OR(X6=Assumptions!$B$95,AND(Assumptions!$B$88=1,OR(X6=Assumptions!$B$95+12,X6=Assumptions!$B$95+24))),Assumptions!$B$96,0)+IF(OR(X6=Assumptions!$B$97,AND(Assumptions!$B$88=1,OR(X6=Assumptions!$B$97+12,X6=Assumptions!$B$97+24))),Assumptions!$B$98,0)+IF(OR(X6=Assumptions!$B$99,AND(Assumptions!$B$88=1,OR(X6=Assumptions!$B$99+12,X6=Assumptions!$B$99+24))),Assumptions!$B$100,0)+IF(OR(X6=Assumptions!$B$101,AND(Assumptions!$B$88=1,OR(X6=Assumptions!$B$101+12,X6=Assumptions!$B$101+24))),Assumptions!$B$102,0)+IF(OR(X6=Assumptions!$B$103,AND(Assumptions!$B$88=1,OR(X6=Assumptions!$B$103+12,X6=Assumptions!$B$103+24))),Assumptions!$B$104,0)</f>
        <v>1500</v>
      </c>
      <c r="Y82" s="12">
        <f>IF(OR(Y6=Assumptions!$B$89,AND(Assumptions!$B$88=1,OR(Y6=Assumptions!$B$89+12,Y6=Assumptions!$B$89+24))),Assumptions!$B$90,0)+IF(OR(Y6=Assumptions!$B$91,AND(Assumptions!$B$88=1,OR(Y6=Assumptions!$B$91+12,Y6=Assumptions!$B$91+24))),Assumptions!$B$92,0)+IF(OR(Y6=Assumptions!$B$93,AND(Assumptions!$B$88=1,OR(Y6=Assumptions!$B$93+12,Y6=Assumptions!$B$93+24))),Assumptions!$B$94,0)+IF(OR(Y6=Assumptions!$B$95,AND(Assumptions!$B$88=1,OR(Y6=Assumptions!$B$95+12,Y6=Assumptions!$B$95+24))),Assumptions!$B$96,0)+IF(OR(Y6=Assumptions!$B$97,AND(Assumptions!$B$88=1,OR(Y6=Assumptions!$B$97+12,Y6=Assumptions!$B$97+24))),Assumptions!$B$98,0)+IF(OR(Y6=Assumptions!$B$99,AND(Assumptions!$B$88=1,OR(Y6=Assumptions!$B$99+12,Y6=Assumptions!$B$99+24))),Assumptions!$B$100,0)+IF(OR(Y6=Assumptions!$B$101,AND(Assumptions!$B$88=1,OR(Y6=Assumptions!$B$101+12,Y6=Assumptions!$B$101+24))),Assumptions!$B$102,0)+IF(OR(Y6=Assumptions!$B$103,AND(Assumptions!$B$88=1,OR(Y6=Assumptions!$B$103+12,Y6=Assumptions!$B$103+24))),Assumptions!$B$104,0)</f>
        <v>0</v>
      </c>
      <c r="Z82" s="12">
        <f>IF(OR(Z6=Assumptions!$B$89,AND(Assumptions!$B$88=1,OR(Z6=Assumptions!$B$89+12,Z6=Assumptions!$B$89+24))),Assumptions!$B$90,0)+IF(OR(Z6=Assumptions!$B$91,AND(Assumptions!$B$88=1,OR(Z6=Assumptions!$B$91+12,Z6=Assumptions!$B$91+24))),Assumptions!$B$92,0)+IF(OR(Z6=Assumptions!$B$93,AND(Assumptions!$B$88=1,OR(Z6=Assumptions!$B$93+12,Z6=Assumptions!$B$93+24))),Assumptions!$B$94,0)+IF(OR(Z6=Assumptions!$B$95,AND(Assumptions!$B$88=1,OR(Z6=Assumptions!$B$95+12,Z6=Assumptions!$B$95+24))),Assumptions!$B$96,0)+IF(OR(Z6=Assumptions!$B$97,AND(Assumptions!$B$88=1,OR(Z6=Assumptions!$B$97+12,Z6=Assumptions!$B$97+24))),Assumptions!$B$98,0)+IF(OR(Z6=Assumptions!$B$99,AND(Assumptions!$B$88=1,OR(Z6=Assumptions!$B$99+12,Z6=Assumptions!$B$99+24))),Assumptions!$B$100,0)+IF(OR(Z6=Assumptions!$B$101,AND(Assumptions!$B$88=1,OR(Z6=Assumptions!$B$101+12,Z6=Assumptions!$B$101+24))),Assumptions!$B$102,0)+IF(OR(Z6=Assumptions!$B$103,AND(Assumptions!$B$88=1,OR(Z6=Assumptions!$B$103+12,Z6=Assumptions!$B$103+24))),Assumptions!$B$104,0)</f>
        <v>0</v>
      </c>
      <c r="AA82" s="12">
        <f>IF(OR(AA6=Assumptions!$B$89,AND(Assumptions!$B$88=1,OR(AA6=Assumptions!$B$89+12,AA6=Assumptions!$B$89+24))),Assumptions!$B$90,0)+IF(OR(AA6=Assumptions!$B$91,AND(Assumptions!$B$88=1,OR(AA6=Assumptions!$B$91+12,AA6=Assumptions!$B$91+24))),Assumptions!$B$92,0)+IF(OR(AA6=Assumptions!$B$93,AND(Assumptions!$B$88=1,OR(AA6=Assumptions!$B$93+12,AA6=Assumptions!$B$93+24))),Assumptions!$B$94,0)+IF(OR(AA6=Assumptions!$B$95,AND(Assumptions!$B$88=1,OR(AA6=Assumptions!$B$95+12,AA6=Assumptions!$B$95+24))),Assumptions!$B$96,0)+IF(OR(AA6=Assumptions!$B$97,AND(Assumptions!$B$88=1,OR(AA6=Assumptions!$B$97+12,AA6=Assumptions!$B$97+24))),Assumptions!$B$98,0)+IF(OR(AA6=Assumptions!$B$99,AND(Assumptions!$B$88=1,OR(AA6=Assumptions!$B$99+12,AA6=Assumptions!$B$99+24))),Assumptions!$B$100,0)+IF(OR(AA6=Assumptions!$B$101,AND(Assumptions!$B$88=1,OR(AA6=Assumptions!$B$101+12,AA6=Assumptions!$B$101+24))),Assumptions!$B$102,0)+IF(OR(AA6=Assumptions!$B$103,AND(Assumptions!$B$88=1,OR(AA6=Assumptions!$B$103+12,AA6=Assumptions!$B$103+24))),Assumptions!$B$104,0)</f>
        <v>0</v>
      </c>
      <c r="AB82" s="12">
        <f>IF(OR(AB6=Assumptions!$B$89,AND(Assumptions!$B$88=1,OR(AB6=Assumptions!$B$89+12,AB6=Assumptions!$B$89+24))),Assumptions!$B$90,0)+IF(OR(AB6=Assumptions!$B$91,AND(Assumptions!$B$88=1,OR(AB6=Assumptions!$B$91+12,AB6=Assumptions!$B$91+24))),Assumptions!$B$92,0)+IF(OR(AB6=Assumptions!$B$93,AND(Assumptions!$B$88=1,OR(AB6=Assumptions!$B$93+12,AB6=Assumptions!$B$93+24))),Assumptions!$B$94,0)+IF(OR(AB6=Assumptions!$B$95,AND(Assumptions!$B$88=1,OR(AB6=Assumptions!$B$95+12,AB6=Assumptions!$B$95+24))),Assumptions!$B$96,0)+IF(OR(AB6=Assumptions!$B$97,AND(Assumptions!$B$88=1,OR(AB6=Assumptions!$B$97+12,AB6=Assumptions!$B$97+24))),Assumptions!$B$98,0)+IF(OR(AB6=Assumptions!$B$99,AND(Assumptions!$B$88=1,OR(AB6=Assumptions!$B$99+12,AB6=Assumptions!$B$99+24))),Assumptions!$B$100,0)+IF(OR(AB6=Assumptions!$B$101,AND(Assumptions!$B$88=1,OR(AB6=Assumptions!$B$101+12,AB6=Assumptions!$B$101+24))),Assumptions!$B$102,0)+IF(OR(AB6=Assumptions!$B$103,AND(Assumptions!$B$88=1,OR(AB6=Assumptions!$B$103+12,AB6=Assumptions!$B$103+24))),Assumptions!$B$104,0)</f>
        <v>0</v>
      </c>
      <c r="AC82" s="12">
        <f>IF(OR(AC6=Assumptions!$B$89,AND(Assumptions!$B$88=1,OR(AC6=Assumptions!$B$89+12,AC6=Assumptions!$B$89+24))),Assumptions!$B$90,0)+IF(OR(AC6=Assumptions!$B$91,AND(Assumptions!$B$88=1,OR(AC6=Assumptions!$B$91+12,AC6=Assumptions!$B$91+24))),Assumptions!$B$92,0)+IF(OR(AC6=Assumptions!$B$93,AND(Assumptions!$B$88=1,OR(AC6=Assumptions!$B$93+12,AC6=Assumptions!$B$93+24))),Assumptions!$B$94,0)+IF(OR(AC6=Assumptions!$B$95,AND(Assumptions!$B$88=1,OR(AC6=Assumptions!$B$95+12,AC6=Assumptions!$B$95+24))),Assumptions!$B$96,0)+IF(OR(AC6=Assumptions!$B$97,AND(Assumptions!$B$88=1,OR(AC6=Assumptions!$B$97+12,AC6=Assumptions!$B$97+24))),Assumptions!$B$98,0)+IF(OR(AC6=Assumptions!$B$99,AND(Assumptions!$B$88=1,OR(AC6=Assumptions!$B$99+12,AC6=Assumptions!$B$99+24))),Assumptions!$B$100,0)+IF(OR(AC6=Assumptions!$B$101,AND(Assumptions!$B$88=1,OR(AC6=Assumptions!$B$101+12,AC6=Assumptions!$B$101+24))),Assumptions!$B$102,0)+IF(OR(AC6=Assumptions!$B$103,AND(Assumptions!$B$88=1,OR(AC6=Assumptions!$B$103+12,AC6=Assumptions!$B$103+24))),Assumptions!$B$104,0)</f>
        <v>7800</v>
      </c>
      <c r="AD82" s="12">
        <f>IF(OR(AD6=Assumptions!$B$89,AND(Assumptions!$B$88=1,OR(AD6=Assumptions!$B$89+12,AD6=Assumptions!$B$89+24))),Assumptions!$B$90,0)+IF(OR(AD6=Assumptions!$B$91,AND(Assumptions!$B$88=1,OR(AD6=Assumptions!$B$91+12,AD6=Assumptions!$B$91+24))),Assumptions!$B$92,0)+IF(OR(AD6=Assumptions!$B$93,AND(Assumptions!$B$88=1,OR(AD6=Assumptions!$B$93+12,AD6=Assumptions!$B$93+24))),Assumptions!$B$94,0)+IF(OR(AD6=Assumptions!$B$95,AND(Assumptions!$B$88=1,OR(AD6=Assumptions!$B$95+12,AD6=Assumptions!$B$95+24))),Assumptions!$B$96,0)+IF(OR(AD6=Assumptions!$B$97,AND(Assumptions!$B$88=1,OR(AD6=Assumptions!$B$97+12,AD6=Assumptions!$B$97+24))),Assumptions!$B$98,0)+IF(OR(AD6=Assumptions!$B$99,AND(Assumptions!$B$88=1,OR(AD6=Assumptions!$B$99+12,AD6=Assumptions!$B$99+24))),Assumptions!$B$100,0)+IF(OR(AD6=Assumptions!$B$101,AND(Assumptions!$B$88=1,OR(AD6=Assumptions!$B$101+12,AD6=Assumptions!$B$101+24))),Assumptions!$B$102,0)+IF(OR(AD6=Assumptions!$B$103,AND(Assumptions!$B$88=1,OR(AD6=Assumptions!$B$103+12,AD6=Assumptions!$B$103+24))),Assumptions!$B$104,0)</f>
        <v>0</v>
      </c>
      <c r="AE82" s="12">
        <f>IF(OR(AE6=Assumptions!$B$89,AND(Assumptions!$B$88=1,OR(AE6=Assumptions!$B$89+12,AE6=Assumptions!$B$89+24))),Assumptions!$B$90,0)+IF(OR(AE6=Assumptions!$B$91,AND(Assumptions!$B$88=1,OR(AE6=Assumptions!$B$91+12,AE6=Assumptions!$B$91+24))),Assumptions!$B$92,0)+IF(OR(AE6=Assumptions!$B$93,AND(Assumptions!$B$88=1,OR(AE6=Assumptions!$B$93+12,AE6=Assumptions!$B$93+24))),Assumptions!$B$94,0)+IF(OR(AE6=Assumptions!$B$95,AND(Assumptions!$B$88=1,OR(AE6=Assumptions!$B$95+12,AE6=Assumptions!$B$95+24))),Assumptions!$B$96,0)+IF(OR(AE6=Assumptions!$B$97,AND(Assumptions!$B$88=1,OR(AE6=Assumptions!$B$97+12,AE6=Assumptions!$B$97+24))),Assumptions!$B$98,0)+IF(OR(AE6=Assumptions!$B$99,AND(Assumptions!$B$88=1,OR(AE6=Assumptions!$B$99+12,AE6=Assumptions!$B$99+24))),Assumptions!$B$100,0)+IF(OR(AE6=Assumptions!$B$101,AND(Assumptions!$B$88=1,OR(AE6=Assumptions!$B$101+12,AE6=Assumptions!$B$101+24))),Assumptions!$B$102,0)+IF(OR(AE6=Assumptions!$B$103,AND(Assumptions!$B$88=1,OR(AE6=Assumptions!$B$103+12,AE6=Assumptions!$B$103+24))),Assumptions!$B$104,0)</f>
        <v>5000</v>
      </c>
      <c r="AF82" s="12">
        <f>IF(OR(AF6=Assumptions!$B$89,AND(Assumptions!$B$88=1,OR(AF6=Assumptions!$B$89+12,AF6=Assumptions!$B$89+24))),Assumptions!$B$90,0)+IF(OR(AF6=Assumptions!$B$91,AND(Assumptions!$B$88=1,OR(AF6=Assumptions!$B$91+12,AF6=Assumptions!$B$91+24))),Assumptions!$B$92,0)+IF(OR(AF6=Assumptions!$B$93,AND(Assumptions!$B$88=1,OR(AF6=Assumptions!$B$93+12,AF6=Assumptions!$B$93+24))),Assumptions!$B$94,0)+IF(OR(AF6=Assumptions!$B$95,AND(Assumptions!$B$88=1,OR(AF6=Assumptions!$B$95+12,AF6=Assumptions!$B$95+24))),Assumptions!$B$96,0)+IF(OR(AF6=Assumptions!$B$97,AND(Assumptions!$B$88=1,OR(AF6=Assumptions!$B$97+12,AF6=Assumptions!$B$97+24))),Assumptions!$B$98,0)+IF(OR(AF6=Assumptions!$B$99,AND(Assumptions!$B$88=1,OR(AF6=Assumptions!$B$99+12,AF6=Assumptions!$B$99+24))),Assumptions!$B$100,0)+IF(OR(AF6=Assumptions!$B$101,AND(Assumptions!$B$88=1,OR(AF6=Assumptions!$B$101+12,AF6=Assumptions!$B$101+24))),Assumptions!$B$102,0)+IF(OR(AF6=Assumptions!$B$103,AND(Assumptions!$B$88=1,OR(AF6=Assumptions!$B$103+12,AF6=Assumptions!$B$103+24))),Assumptions!$B$104,0)</f>
        <v>1000</v>
      </c>
      <c r="AG82" s="12">
        <f>IF(OR(AG6=Assumptions!$B$89,AND(Assumptions!$B$88=1,OR(AG6=Assumptions!$B$89+12,AG6=Assumptions!$B$89+24))),Assumptions!$B$90,0)+IF(OR(AG6=Assumptions!$B$91,AND(Assumptions!$B$88=1,OR(AG6=Assumptions!$B$91+12,AG6=Assumptions!$B$91+24))),Assumptions!$B$92,0)+IF(OR(AG6=Assumptions!$B$93,AND(Assumptions!$B$88=1,OR(AG6=Assumptions!$B$93+12,AG6=Assumptions!$B$93+24))),Assumptions!$B$94,0)+IF(OR(AG6=Assumptions!$B$95,AND(Assumptions!$B$88=1,OR(AG6=Assumptions!$B$95+12,AG6=Assumptions!$B$95+24))),Assumptions!$B$96,0)+IF(OR(AG6=Assumptions!$B$97,AND(Assumptions!$B$88=1,OR(AG6=Assumptions!$B$97+12,AG6=Assumptions!$B$97+24))),Assumptions!$B$98,0)+IF(OR(AG6=Assumptions!$B$99,AND(Assumptions!$B$88=1,OR(AG6=Assumptions!$B$99+12,AG6=Assumptions!$B$99+24))),Assumptions!$B$100,0)+IF(OR(AG6=Assumptions!$B$101,AND(Assumptions!$B$88=1,OR(AG6=Assumptions!$B$101+12,AG6=Assumptions!$B$101+24))),Assumptions!$B$102,0)+IF(OR(AG6=Assumptions!$B$103,AND(Assumptions!$B$88=1,OR(AG6=Assumptions!$B$103+12,AG6=Assumptions!$B$103+24))),Assumptions!$B$104,0)</f>
        <v>0</v>
      </c>
      <c r="AH82" s="12">
        <f>IF(OR(AH6=Assumptions!$B$89,AND(Assumptions!$B$88=1,OR(AH6=Assumptions!$B$89+12,AH6=Assumptions!$B$89+24))),Assumptions!$B$90,0)+IF(OR(AH6=Assumptions!$B$91,AND(Assumptions!$B$88=1,OR(AH6=Assumptions!$B$91+12,AH6=Assumptions!$B$91+24))),Assumptions!$B$92,0)+IF(OR(AH6=Assumptions!$B$93,AND(Assumptions!$B$88=1,OR(AH6=Assumptions!$B$93+12,AH6=Assumptions!$B$93+24))),Assumptions!$B$94,0)+IF(OR(AH6=Assumptions!$B$95,AND(Assumptions!$B$88=1,OR(AH6=Assumptions!$B$95+12,AH6=Assumptions!$B$95+24))),Assumptions!$B$96,0)+IF(OR(AH6=Assumptions!$B$97,AND(Assumptions!$B$88=1,OR(AH6=Assumptions!$B$97+12,AH6=Assumptions!$B$97+24))),Assumptions!$B$98,0)+IF(OR(AH6=Assumptions!$B$99,AND(Assumptions!$B$88=1,OR(AH6=Assumptions!$B$99+12,AH6=Assumptions!$B$99+24))),Assumptions!$B$100,0)+IF(OR(AH6=Assumptions!$B$101,AND(Assumptions!$B$88=1,OR(AH6=Assumptions!$B$101+12,AH6=Assumptions!$B$101+24))),Assumptions!$B$102,0)+IF(OR(AH6=Assumptions!$B$103,AND(Assumptions!$B$88=1,OR(AH6=Assumptions!$B$103+12,AH6=Assumptions!$B$103+24))),Assumptions!$B$104,0)</f>
        <v>0</v>
      </c>
      <c r="AI82" s="12">
        <f>IF(OR(AI6=Assumptions!$B$89,AND(Assumptions!$B$88=1,OR(AI6=Assumptions!$B$89+12,AI6=Assumptions!$B$89+24))),Assumptions!$B$90,0)+IF(OR(AI6=Assumptions!$B$91,AND(Assumptions!$B$88=1,OR(AI6=Assumptions!$B$91+12,AI6=Assumptions!$B$91+24))),Assumptions!$B$92,0)+IF(OR(AI6=Assumptions!$B$93,AND(Assumptions!$B$88=1,OR(AI6=Assumptions!$B$93+12,AI6=Assumptions!$B$93+24))),Assumptions!$B$94,0)+IF(OR(AI6=Assumptions!$B$95,AND(Assumptions!$B$88=1,OR(AI6=Assumptions!$B$95+12,AI6=Assumptions!$B$95+24))),Assumptions!$B$96,0)+IF(OR(AI6=Assumptions!$B$97,AND(Assumptions!$B$88=1,OR(AI6=Assumptions!$B$97+12,AI6=Assumptions!$B$97+24))),Assumptions!$B$98,0)+IF(OR(AI6=Assumptions!$B$99,AND(Assumptions!$B$88=1,OR(AI6=Assumptions!$B$99+12,AI6=Assumptions!$B$99+24))),Assumptions!$B$100,0)+IF(OR(AI6=Assumptions!$B$101,AND(Assumptions!$B$88=1,OR(AI6=Assumptions!$B$101+12,AI6=Assumptions!$B$101+24))),Assumptions!$B$102,0)+IF(OR(AI6=Assumptions!$B$103,AND(Assumptions!$B$88=1,OR(AI6=Assumptions!$B$103+12,AI6=Assumptions!$B$103+24))),Assumptions!$B$104,0)</f>
        <v>3000</v>
      </c>
      <c r="AJ82" s="12">
        <f>IF(OR(AJ6=Assumptions!$B$89,AND(Assumptions!$B$88=1,OR(AJ6=Assumptions!$B$89+12,AJ6=Assumptions!$B$89+24))),Assumptions!$B$90,0)+IF(OR(AJ6=Assumptions!$B$91,AND(Assumptions!$B$88=1,OR(AJ6=Assumptions!$B$91+12,AJ6=Assumptions!$B$91+24))),Assumptions!$B$92,0)+IF(OR(AJ6=Assumptions!$B$93,AND(Assumptions!$B$88=1,OR(AJ6=Assumptions!$B$93+12,AJ6=Assumptions!$B$93+24))),Assumptions!$B$94,0)+IF(OR(AJ6=Assumptions!$B$95,AND(Assumptions!$B$88=1,OR(AJ6=Assumptions!$B$95+12,AJ6=Assumptions!$B$95+24))),Assumptions!$B$96,0)+IF(OR(AJ6=Assumptions!$B$97,AND(Assumptions!$B$88=1,OR(AJ6=Assumptions!$B$97+12,AJ6=Assumptions!$B$97+24))),Assumptions!$B$98,0)+IF(OR(AJ6=Assumptions!$B$99,AND(Assumptions!$B$88=1,OR(AJ6=Assumptions!$B$99+12,AJ6=Assumptions!$B$99+24))),Assumptions!$B$100,0)+IF(OR(AJ6=Assumptions!$B$101,AND(Assumptions!$B$88=1,OR(AJ6=Assumptions!$B$101+12,AJ6=Assumptions!$B$101+24))),Assumptions!$B$102,0)+IF(OR(AJ6=Assumptions!$B$103,AND(Assumptions!$B$88=1,OR(AJ6=Assumptions!$B$103+12,AJ6=Assumptions!$B$103+24))),Assumptions!$B$104,0)</f>
        <v>1500</v>
      </c>
      <c r="AK82" s="12">
        <f>IF(OR(AK6=Assumptions!$B$89,AND(Assumptions!$B$88=1,OR(AK6=Assumptions!$B$89+12,AK6=Assumptions!$B$89+24))),Assumptions!$B$90,0)+IF(OR(AK6=Assumptions!$B$91,AND(Assumptions!$B$88=1,OR(AK6=Assumptions!$B$91+12,AK6=Assumptions!$B$91+24))),Assumptions!$B$92,0)+IF(OR(AK6=Assumptions!$B$93,AND(Assumptions!$B$88=1,OR(AK6=Assumptions!$B$93+12,AK6=Assumptions!$B$93+24))),Assumptions!$B$94,0)+IF(OR(AK6=Assumptions!$B$95,AND(Assumptions!$B$88=1,OR(AK6=Assumptions!$B$95+12,AK6=Assumptions!$B$95+24))),Assumptions!$B$96,0)+IF(OR(AK6=Assumptions!$B$97,AND(Assumptions!$B$88=1,OR(AK6=Assumptions!$B$97+12,AK6=Assumptions!$B$97+24))),Assumptions!$B$98,0)+IF(OR(AK6=Assumptions!$B$99,AND(Assumptions!$B$88=1,OR(AK6=Assumptions!$B$99+12,AK6=Assumptions!$B$99+24))),Assumptions!$B$100,0)+IF(OR(AK6=Assumptions!$B$101,AND(Assumptions!$B$88=1,OR(AK6=Assumptions!$B$101+12,AK6=Assumptions!$B$101+24))),Assumptions!$B$102,0)+IF(OR(AK6=Assumptions!$B$103,AND(Assumptions!$B$88=1,OR(AK6=Assumptions!$B$103+12,AK6=Assumptions!$B$103+24))),Assumptions!$B$104,0)</f>
        <v>0</v>
      </c>
      <c r="AL82" s="12">
        <f>IF(OR(AL6=Assumptions!$B$89,AND(Assumptions!$B$88=1,OR(AL6=Assumptions!$B$89+12,AL6=Assumptions!$B$89+24))),Assumptions!$B$90,0)+IF(OR(AL6=Assumptions!$B$91,AND(Assumptions!$B$88=1,OR(AL6=Assumptions!$B$91+12,AL6=Assumptions!$B$91+24))),Assumptions!$B$92,0)+IF(OR(AL6=Assumptions!$B$93,AND(Assumptions!$B$88=1,OR(AL6=Assumptions!$B$93+12,AL6=Assumptions!$B$93+24))),Assumptions!$B$94,0)+IF(OR(AL6=Assumptions!$B$95,AND(Assumptions!$B$88=1,OR(AL6=Assumptions!$B$95+12,AL6=Assumptions!$B$95+24))),Assumptions!$B$96,0)+IF(OR(AL6=Assumptions!$B$97,AND(Assumptions!$B$88=1,OR(AL6=Assumptions!$B$97+12,AL6=Assumptions!$B$97+24))),Assumptions!$B$98,0)+IF(OR(AL6=Assumptions!$B$99,AND(Assumptions!$B$88=1,OR(AL6=Assumptions!$B$99+12,AL6=Assumptions!$B$99+24))),Assumptions!$B$100,0)+IF(OR(AL6=Assumptions!$B$101,AND(Assumptions!$B$88=1,OR(AL6=Assumptions!$B$101+12,AL6=Assumptions!$B$101+24))),Assumptions!$B$102,0)+IF(OR(AL6=Assumptions!$B$103,AND(Assumptions!$B$88=1,OR(AL6=Assumptions!$B$103+12,AL6=Assumptions!$B$103+24))),Assumptions!$B$104,0)</f>
        <v>0</v>
      </c>
    </row>
    <row r="83" spans="1:38" x14ac:dyDescent="0.25">
      <c r="A83" s="2" t="s">
        <v>357</v>
      </c>
      <c r="C83" s="12">
        <f ca="1">Assumptions!$B$81+Assumptions!$B$82+Assumptions!$B$83+Assumptions!$B$84*(C62+C66)</f>
        <v>1800</v>
      </c>
      <c r="D83" s="12">
        <f ca="1">Assumptions!$B$81+Assumptions!$B$82+Assumptions!$B$83+Assumptions!$B$84*(D62+D66)</f>
        <v>1800</v>
      </c>
      <c r="E83" s="12">
        <f ca="1">Assumptions!$B$81+Assumptions!$B$82+Assumptions!$B$83+Assumptions!$B$84*(E62+E66)</f>
        <v>1800</v>
      </c>
      <c r="F83" s="12">
        <f ca="1">Assumptions!$B$81+Assumptions!$B$82+Assumptions!$B$83+Assumptions!$B$84*(F62+F66)</f>
        <v>1800</v>
      </c>
      <c r="G83" s="12">
        <f ca="1">Assumptions!$B$81+Assumptions!$B$82+Assumptions!$B$83+Assumptions!$B$84*(G62+G66)</f>
        <v>1800</v>
      </c>
      <c r="H83" s="12">
        <f ca="1">Assumptions!$B$81+Assumptions!$B$82+Assumptions!$B$83+Assumptions!$B$84*(H62+H66)</f>
        <v>1800</v>
      </c>
      <c r="I83" s="12">
        <f ca="1">Assumptions!$B$81+Assumptions!$B$82+Assumptions!$B$83+Assumptions!$B$84*(I62+I66)</f>
        <v>1800</v>
      </c>
      <c r="J83" s="12">
        <f ca="1">Assumptions!$B$81+Assumptions!$B$82+Assumptions!$B$83+Assumptions!$B$84*(J62+J66)</f>
        <v>1800</v>
      </c>
      <c r="K83" s="12">
        <f ca="1">Assumptions!$B$81+Assumptions!$B$82+Assumptions!$B$83+Assumptions!$B$84*(K62+K66)</f>
        <v>2050</v>
      </c>
      <c r="L83" s="12">
        <f ca="1">Assumptions!$B$81+Assumptions!$B$82+Assumptions!$B$83+Assumptions!$B$84*(L62+L66)</f>
        <v>2050</v>
      </c>
      <c r="M83" s="12">
        <f ca="1">Assumptions!$B$81+Assumptions!$B$82+Assumptions!$B$83+Assumptions!$B$84*(M62+M66)</f>
        <v>2050</v>
      </c>
      <c r="N83" s="12">
        <f ca="1">Assumptions!$B$81+Assumptions!$B$82+Assumptions!$B$83+Assumptions!$B$84*(N62+N66)</f>
        <v>2050</v>
      </c>
      <c r="O83" s="12">
        <f ca="1">Assumptions!$B$81+Assumptions!$B$82+Assumptions!$B$83+Assumptions!$B$84*(O62+O66)</f>
        <v>2300</v>
      </c>
      <c r="P83" s="12">
        <f ca="1">Assumptions!$B$81+Assumptions!$B$82+Assumptions!$B$83+Assumptions!$B$84*(P62+P66)</f>
        <v>2300</v>
      </c>
      <c r="Q83" s="12">
        <f ca="1">Assumptions!$B$81+Assumptions!$B$82+Assumptions!$B$83+Assumptions!$B$84*(Q62+Q66)</f>
        <v>2300</v>
      </c>
      <c r="R83" s="12">
        <f ca="1">Assumptions!$B$81+Assumptions!$B$82+Assumptions!$B$83+Assumptions!$B$84*(R62+R66)</f>
        <v>2300</v>
      </c>
      <c r="S83" s="12">
        <f ca="1">Assumptions!$B$81+Assumptions!$B$82+Assumptions!$B$83+Assumptions!$B$84*(S62+S66)</f>
        <v>2300</v>
      </c>
      <c r="T83" s="12">
        <f ca="1">Assumptions!$B$81+Assumptions!$B$82+Assumptions!$B$83+Assumptions!$B$84*(T62+T66)</f>
        <v>2300</v>
      </c>
      <c r="U83" s="12">
        <f ca="1">Assumptions!$B$81+Assumptions!$B$82+Assumptions!$B$83+Assumptions!$B$84*(U62+U66)</f>
        <v>2300</v>
      </c>
      <c r="V83" s="12">
        <f ca="1">Assumptions!$B$81+Assumptions!$B$82+Assumptions!$B$83+Assumptions!$B$84*(V62+V66)</f>
        <v>2300</v>
      </c>
      <c r="W83" s="12">
        <f ca="1">Assumptions!$B$81+Assumptions!$B$82+Assumptions!$B$83+Assumptions!$B$84*(W62+W66)</f>
        <v>2300</v>
      </c>
      <c r="X83" s="12">
        <f ca="1">Assumptions!$B$81+Assumptions!$B$82+Assumptions!$B$83+Assumptions!$B$84*(X62+X66)</f>
        <v>2300</v>
      </c>
      <c r="Y83" s="12">
        <f ca="1">Assumptions!$B$81+Assumptions!$B$82+Assumptions!$B$83+Assumptions!$B$84*(Y62+Y66)</f>
        <v>2300</v>
      </c>
      <c r="Z83" s="12">
        <f ca="1">Assumptions!$B$81+Assumptions!$B$82+Assumptions!$B$83+Assumptions!$B$84*(Z62+Z66)</f>
        <v>2300</v>
      </c>
      <c r="AA83" s="12">
        <f ca="1">Assumptions!$B$81+Assumptions!$B$82+Assumptions!$B$83+Assumptions!$B$84*(AA62+AA66)</f>
        <v>2550</v>
      </c>
      <c r="AB83" s="12">
        <f ca="1">Assumptions!$B$81+Assumptions!$B$82+Assumptions!$B$83+Assumptions!$B$84*(AB62+AB66)</f>
        <v>2550</v>
      </c>
      <c r="AC83" s="12">
        <f ca="1">Assumptions!$B$81+Assumptions!$B$82+Assumptions!$B$83+Assumptions!$B$84*(AC62+AC66)</f>
        <v>3050</v>
      </c>
      <c r="AD83" s="12">
        <f ca="1">Assumptions!$B$81+Assumptions!$B$82+Assumptions!$B$83+Assumptions!$B$84*(AD62+AD66)</f>
        <v>3050</v>
      </c>
      <c r="AE83" s="12">
        <f ca="1">Assumptions!$B$81+Assumptions!$B$82+Assumptions!$B$83+Assumptions!$B$84*(AE62+AE66)</f>
        <v>3050</v>
      </c>
      <c r="AF83" s="12">
        <f ca="1">Assumptions!$B$81+Assumptions!$B$82+Assumptions!$B$83+Assumptions!$B$84*(AF62+AF66)</f>
        <v>3050</v>
      </c>
      <c r="AG83" s="12">
        <f ca="1">Assumptions!$B$81+Assumptions!$B$82+Assumptions!$B$83+Assumptions!$B$84*(AG62+AG66)</f>
        <v>3050</v>
      </c>
      <c r="AH83" s="12">
        <f ca="1">Assumptions!$B$81+Assumptions!$B$82+Assumptions!$B$83+Assumptions!$B$84*(AH62+AH66)</f>
        <v>3050</v>
      </c>
      <c r="AI83" s="12">
        <f ca="1">Assumptions!$B$81+Assumptions!$B$82+Assumptions!$B$83+Assumptions!$B$84*(AI62+AI66)</f>
        <v>3050</v>
      </c>
      <c r="AJ83" s="12">
        <f ca="1">Assumptions!$B$81+Assumptions!$B$82+Assumptions!$B$83+Assumptions!$B$84*(AJ62+AJ66)</f>
        <v>3050</v>
      </c>
      <c r="AK83" s="12">
        <f ca="1">Assumptions!$B$81+Assumptions!$B$82+Assumptions!$B$83+Assumptions!$B$84*(AK62+AK66)</f>
        <v>3300</v>
      </c>
      <c r="AL83" s="12">
        <f ca="1">Assumptions!$B$81+Assumptions!$B$82+Assumptions!$B$83+Assumptions!$B$84*(AL62+AL66)</f>
        <v>3300</v>
      </c>
    </row>
    <row r="84" spans="1:38" x14ac:dyDescent="0.25">
      <c r="A84" s="3" t="s">
        <v>358</v>
      </c>
      <c r="C84" s="42">
        <f t="shared" ref="C84:AL84" ca="1" si="30">SUM(C80:C83)</f>
        <v>4950</v>
      </c>
      <c r="D84" s="42">
        <f t="shared" ca="1" si="30"/>
        <v>4950</v>
      </c>
      <c r="E84" s="42">
        <f t="shared" ca="1" si="30"/>
        <v>12750</v>
      </c>
      <c r="F84" s="42">
        <f t="shared" ca="1" si="30"/>
        <v>4950</v>
      </c>
      <c r="G84" s="42">
        <f t="shared" ca="1" si="30"/>
        <v>9950</v>
      </c>
      <c r="H84" s="42">
        <f t="shared" ca="1" si="30"/>
        <v>5950</v>
      </c>
      <c r="I84" s="42">
        <f t="shared" ca="1" si="30"/>
        <v>4950</v>
      </c>
      <c r="J84" s="42">
        <f t="shared" ca="1" si="30"/>
        <v>4950</v>
      </c>
      <c r="K84" s="42">
        <f t="shared" ca="1" si="30"/>
        <v>8950</v>
      </c>
      <c r="L84" s="42">
        <f t="shared" ca="1" si="30"/>
        <v>7450</v>
      </c>
      <c r="M84" s="42">
        <f t="shared" ca="1" si="30"/>
        <v>5950</v>
      </c>
      <c r="N84" s="42">
        <f t="shared" ca="1" si="30"/>
        <v>5950</v>
      </c>
      <c r="O84" s="42">
        <f t="shared" ca="1" si="30"/>
        <v>6950</v>
      </c>
      <c r="P84" s="42">
        <f t="shared" ca="1" si="30"/>
        <v>6950</v>
      </c>
      <c r="Q84" s="42">
        <f t="shared" ca="1" si="30"/>
        <v>14750</v>
      </c>
      <c r="R84" s="42">
        <f t="shared" ca="1" si="30"/>
        <v>6950</v>
      </c>
      <c r="S84" s="42">
        <f t="shared" ca="1" si="30"/>
        <v>11950</v>
      </c>
      <c r="T84" s="42">
        <f t="shared" ca="1" si="30"/>
        <v>7950</v>
      </c>
      <c r="U84" s="42">
        <f t="shared" ca="1" si="30"/>
        <v>6950</v>
      </c>
      <c r="V84" s="42">
        <f t="shared" ca="1" si="30"/>
        <v>6950</v>
      </c>
      <c r="W84" s="42">
        <f t="shared" ca="1" si="30"/>
        <v>9950</v>
      </c>
      <c r="X84" s="42">
        <f t="shared" ca="1" si="30"/>
        <v>8450</v>
      </c>
      <c r="Y84" s="42">
        <f t="shared" ca="1" si="30"/>
        <v>6950</v>
      </c>
      <c r="Z84" s="42">
        <f t="shared" ca="1" si="30"/>
        <v>6950</v>
      </c>
      <c r="AA84" s="42">
        <f t="shared" ca="1" si="30"/>
        <v>7950</v>
      </c>
      <c r="AB84" s="42">
        <f t="shared" ca="1" si="30"/>
        <v>7950</v>
      </c>
      <c r="AC84" s="42">
        <f t="shared" ca="1" si="30"/>
        <v>16250</v>
      </c>
      <c r="AD84" s="42">
        <f t="shared" ca="1" si="30"/>
        <v>8450</v>
      </c>
      <c r="AE84" s="42">
        <f t="shared" ca="1" si="30"/>
        <v>13450</v>
      </c>
      <c r="AF84" s="42">
        <f t="shared" ca="1" si="30"/>
        <v>9450</v>
      </c>
      <c r="AG84" s="42">
        <f t="shared" ca="1" si="30"/>
        <v>8450</v>
      </c>
      <c r="AH84" s="42">
        <f t="shared" ca="1" si="30"/>
        <v>8450</v>
      </c>
      <c r="AI84" s="42">
        <f t="shared" ca="1" si="30"/>
        <v>11450</v>
      </c>
      <c r="AJ84" s="42">
        <f t="shared" ca="1" si="30"/>
        <v>9950</v>
      </c>
      <c r="AK84" s="42">
        <f t="shared" ca="1" si="30"/>
        <v>8700</v>
      </c>
      <c r="AL84" s="42">
        <f t="shared" ca="1" si="30"/>
        <v>8700</v>
      </c>
    </row>
    <row r="86" spans="1:38" x14ac:dyDescent="0.25">
      <c r="A86" s="5" t="s">
        <v>359</v>
      </c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</row>
    <row r="87" spans="1:38" x14ac:dyDescent="0.25">
      <c r="A87" s="3" t="s">
        <v>44</v>
      </c>
      <c r="C87" s="42">
        <f t="shared" ref="C87:AL87" ca="1" si="31">C70+C77+C84</f>
        <v>34558.333333333328</v>
      </c>
      <c r="D87" s="42">
        <f t="shared" ca="1" si="31"/>
        <v>37358.333333333328</v>
      </c>
      <c r="E87" s="42">
        <f t="shared" ca="1" si="31"/>
        <v>42708.333333333328</v>
      </c>
      <c r="F87" s="42">
        <f t="shared" ca="1" si="31"/>
        <v>34658.333333333328</v>
      </c>
      <c r="G87" s="42">
        <f t="shared" ca="1" si="31"/>
        <v>42458.333333333328</v>
      </c>
      <c r="H87" s="42">
        <f t="shared" ca="1" si="31"/>
        <v>35708.333333333328</v>
      </c>
      <c r="I87" s="42">
        <f t="shared" ca="1" si="31"/>
        <v>35008.333333333328</v>
      </c>
      <c r="J87" s="42">
        <f t="shared" ca="1" si="31"/>
        <v>37558.333333333328</v>
      </c>
      <c r="K87" s="42">
        <f t="shared" ca="1" si="31"/>
        <v>63654.166666666664</v>
      </c>
      <c r="L87" s="42">
        <f t="shared" ca="1" si="31"/>
        <v>52904.166666666664</v>
      </c>
      <c r="M87" s="42">
        <f t="shared" ca="1" si="31"/>
        <v>39404.166666666664</v>
      </c>
      <c r="N87" s="42">
        <f t="shared" ca="1" si="31"/>
        <v>44704.166666666664</v>
      </c>
      <c r="O87" s="42">
        <f t="shared" ca="1" si="31"/>
        <v>53600</v>
      </c>
      <c r="P87" s="42">
        <f t="shared" ca="1" si="31"/>
        <v>53650</v>
      </c>
      <c r="Q87" s="42">
        <f t="shared" ca="1" si="31"/>
        <v>73750</v>
      </c>
      <c r="R87" s="42">
        <f t="shared" ca="1" si="31"/>
        <v>53950</v>
      </c>
      <c r="S87" s="42">
        <f t="shared" ca="1" si="31"/>
        <v>59000</v>
      </c>
      <c r="T87" s="42">
        <f t="shared" ca="1" si="31"/>
        <v>67600</v>
      </c>
      <c r="U87" s="42">
        <f t="shared" ca="1" si="31"/>
        <v>54400</v>
      </c>
      <c r="V87" s="42">
        <f t="shared" ca="1" si="31"/>
        <v>59750</v>
      </c>
      <c r="W87" s="42">
        <f t="shared" ca="1" si="31"/>
        <v>57550</v>
      </c>
      <c r="X87" s="42">
        <f t="shared" ca="1" si="31"/>
        <v>65850</v>
      </c>
      <c r="Y87" s="42">
        <f t="shared" ca="1" si="31"/>
        <v>67450</v>
      </c>
      <c r="Z87" s="42">
        <f t="shared" ca="1" si="31"/>
        <v>82950</v>
      </c>
      <c r="AA87" s="42">
        <f t="shared" ca="1" si="31"/>
        <v>89645.833333333328</v>
      </c>
      <c r="AB87" s="42">
        <f t="shared" ca="1" si="31"/>
        <v>65445.833333333328</v>
      </c>
      <c r="AC87" s="42">
        <f t="shared" ca="1" si="31"/>
        <v>98020.833333333328</v>
      </c>
      <c r="AD87" s="42">
        <f t="shared" ca="1" si="31"/>
        <v>90570.833333333328</v>
      </c>
      <c r="AE87" s="42">
        <f t="shared" ca="1" si="31"/>
        <v>98370.833333333328</v>
      </c>
      <c r="AF87" s="42">
        <f t="shared" ca="1" si="31"/>
        <v>91970.833333333328</v>
      </c>
      <c r="AG87" s="42">
        <f t="shared" ca="1" si="31"/>
        <v>78770.833333333328</v>
      </c>
      <c r="AH87" s="42">
        <f t="shared" ca="1" si="31"/>
        <v>96670.833333333328</v>
      </c>
      <c r="AI87" s="42">
        <f t="shared" ca="1" si="31"/>
        <v>104470.83333333333</v>
      </c>
      <c r="AJ87" s="42">
        <f t="shared" ca="1" si="31"/>
        <v>93820.833333333328</v>
      </c>
      <c r="AK87" s="42">
        <f t="shared" ca="1" si="31"/>
        <v>101258.33333333333</v>
      </c>
      <c r="AL87" s="42">
        <f t="shared" ca="1" si="31"/>
        <v>134808.33333333331</v>
      </c>
    </row>
    <row r="88" spans="1:38" x14ac:dyDescent="0.25">
      <c r="A88" s="3" t="s">
        <v>45</v>
      </c>
      <c r="C88" s="42">
        <f t="shared" ref="C88:AL88" ca="1" si="32">C55-C87</f>
        <v>15441.666666666672</v>
      </c>
      <c r="D88" s="42">
        <f t="shared" ca="1" si="32"/>
        <v>-25691.666666666664</v>
      </c>
      <c r="E88" s="42">
        <f t="shared" ca="1" si="32"/>
        <v>-59375</v>
      </c>
      <c r="F88" s="42">
        <f t="shared" ca="1" si="32"/>
        <v>-31324.999999999996</v>
      </c>
      <c r="G88" s="42">
        <f t="shared" ca="1" si="32"/>
        <v>-27458.333333333328</v>
      </c>
      <c r="H88" s="42">
        <f t="shared" ca="1" si="32"/>
        <v>-20708.333333333328</v>
      </c>
      <c r="I88" s="42">
        <f t="shared" ca="1" si="32"/>
        <v>-38341.666666666664</v>
      </c>
      <c r="J88" s="42">
        <f t="shared" ca="1" si="32"/>
        <v>-19224.999999999993</v>
      </c>
      <c r="K88" s="42">
        <f t="shared" ca="1" si="32"/>
        <v>-47820.833333333328</v>
      </c>
      <c r="L88" s="42">
        <f t="shared" ca="1" si="32"/>
        <v>-23320.833333333328</v>
      </c>
      <c r="M88" s="42">
        <f t="shared" ca="1" si="32"/>
        <v>-19820.833333333328</v>
      </c>
      <c r="N88" s="42">
        <f t="shared" ca="1" si="32"/>
        <v>-23454.166666666664</v>
      </c>
      <c r="O88" s="42">
        <f t="shared" ca="1" si="32"/>
        <v>-10683.333333333336</v>
      </c>
      <c r="P88" s="42">
        <f t="shared" ca="1" si="32"/>
        <v>-9066.6666666666642</v>
      </c>
      <c r="Q88" s="42">
        <f t="shared" ca="1" si="32"/>
        <v>-23750</v>
      </c>
      <c r="R88" s="42">
        <f t="shared" ca="1" si="32"/>
        <v>-13950</v>
      </c>
      <c r="S88" s="42">
        <f t="shared" ca="1" si="32"/>
        <v>-17333.333333333328</v>
      </c>
      <c r="T88" s="42">
        <f t="shared" ca="1" si="32"/>
        <v>-18850</v>
      </c>
      <c r="U88" s="42">
        <f t="shared" ca="1" si="32"/>
        <v>-3983.3333333333285</v>
      </c>
      <c r="V88" s="42">
        <f t="shared" ca="1" si="32"/>
        <v>4000</v>
      </c>
      <c r="W88" s="42">
        <f t="shared" ca="1" si="32"/>
        <v>-2133.3333333333285</v>
      </c>
      <c r="X88" s="42">
        <f t="shared" ca="1" si="32"/>
        <v>-5016.6666666666715</v>
      </c>
      <c r="Y88" s="42">
        <f t="shared" ca="1" si="32"/>
        <v>-9533.3333333333285</v>
      </c>
      <c r="Z88" s="42">
        <f t="shared" ca="1" si="32"/>
        <v>-5033.3333333333285</v>
      </c>
      <c r="AA88" s="42">
        <f t="shared" ca="1" si="32"/>
        <v>19104.166666666672</v>
      </c>
      <c r="AB88" s="42">
        <f t="shared" ca="1" si="32"/>
        <v>34970.833333333328</v>
      </c>
      <c r="AC88" s="42">
        <f t="shared" ca="1" si="32"/>
        <v>9479.1666666666715</v>
      </c>
      <c r="AD88" s="42">
        <f t="shared" ca="1" si="32"/>
        <v>14012.500000000015</v>
      </c>
      <c r="AE88" s="42">
        <f t="shared" ca="1" si="32"/>
        <v>31629.166666666672</v>
      </c>
      <c r="AF88" s="42">
        <f t="shared" ca="1" si="32"/>
        <v>21362.500000000015</v>
      </c>
      <c r="AG88" s="42">
        <f t="shared" ca="1" si="32"/>
        <v>46229.166666666672</v>
      </c>
      <c r="AH88" s="42">
        <f t="shared" ca="1" si="32"/>
        <v>37079.166666666672</v>
      </c>
      <c r="AI88" s="42">
        <f t="shared" ca="1" si="32"/>
        <v>28445.833333333328</v>
      </c>
      <c r="AJ88" s="42">
        <f t="shared" ca="1" si="32"/>
        <v>56179.166666666672</v>
      </c>
      <c r="AK88" s="42">
        <f t="shared" ca="1" si="32"/>
        <v>55825.000000000015</v>
      </c>
      <c r="AL88" s="42">
        <f t="shared" ca="1" si="32"/>
        <v>34358.333333333343</v>
      </c>
    </row>
    <row r="89" spans="1:38" x14ac:dyDescent="0.25">
      <c r="A89" s="2" t="s">
        <v>360</v>
      </c>
      <c r="C89" s="38">
        <f ca="1">IF(COUNTIF(C88:$AL$88,"&lt;0")=0,C6,999)</f>
        <v>999</v>
      </c>
      <c r="D89" s="38">
        <f ca="1">IF(COUNTIF(D88:$AL$88,"&lt;0")=0,D6,999)</f>
        <v>999</v>
      </c>
      <c r="E89" s="38">
        <f ca="1">IF(COUNTIF(E88:$AL$88,"&lt;0")=0,E6,999)</f>
        <v>999</v>
      </c>
      <c r="F89" s="38">
        <f ca="1">IF(COUNTIF(F88:$AL$88,"&lt;0")=0,F6,999)</f>
        <v>999</v>
      </c>
      <c r="G89" s="38">
        <f ca="1">IF(COUNTIF(G88:$AL$88,"&lt;0")=0,G6,999)</f>
        <v>999</v>
      </c>
      <c r="H89" s="38">
        <f ca="1">IF(COUNTIF(H88:$AL$88,"&lt;0")=0,H6,999)</f>
        <v>999</v>
      </c>
      <c r="I89" s="38">
        <f ca="1">IF(COUNTIF(I88:$AL$88,"&lt;0")=0,I6,999)</f>
        <v>999</v>
      </c>
      <c r="J89" s="38">
        <f ca="1">IF(COUNTIF(J88:$AL$88,"&lt;0")=0,J6,999)</f>
        <v>999</v>
      </c>
      <c r="K89" s="38">
        <f ca="1">IF(COUNTIF(K88:$AL$88,"&lt;0")=0,K6,999)</f>
        <v>999</v>
      </c>
      <c r="L89" s="38">
        <f ca="1">IF(COUNTIF(L88:$AL$88,"&lt;0")=0,L6,999)</f>
        <v>999</v>
      </c>
      <c r="M89" s="38">
        <f ca="1">IF(COUNTIF(M88:$AL$88,"&lt;0")=0,M6,999)</f>
        <v>999</v>
      </c>
      <c r="N89" s="38">
        <f ca="1">IF(COUNTIF(N88:$AL$88,"&lt;0")=0,N6,999)</f>
        <v>999</v>
      </c>
      <c r="O89" s="38">
        <f ca="1">IF(COUNTIF(O88:$AL$88,"&lt;0")=0,O6,999)</f>
        <v>999</v>
      </c>
      <c r="P89" s="38">
        <f ca="1">IF(COUNTIF(P88:$AL$88,"&lt;0")=0,P6,999)</f>
        <v>999</v>
      </c>
      <c r="Q89" s="38">
        <f ca="1">IF(COUNTIF(Q88:$AL$88,"&lt;0")=0,Q6,999)</f>
        <v>999</v>
      </c>
      <c r="R89" s="38">
        <f ca="1">IF(COUNTIF(R88:$AL$88,"&lt;0")=0,R6,999)</f>
        <v>999</v>
      </c>
      <c r="S89" s="38">
        <f ca="1">IF(COUNTIF(S88:$AL$88,"&lt;0")=0,S6,999)</f>
        <v>999</v>
      </c>
      <c r="T89" s="38">
        <f ca="1">IF(COUNTIF(T88:$AL$88,"&lt;0")=0,T6,999)</f>
        <v>999</v>
      </c>
      <c r="U89" s="38">
        <f ca="1">IF(COUNTIF(U88:$AL$88,"&lt;0")=0,U6,999)</f>
        <v>999</v>
      </c>
      <c r="V89" s="38">
        <f ca="1">IF(COUNTIF(V88:$AL$88,"&lt;0")=0,V6,999)</f>
        <v>999</v>
      </c>
      <c r="W89" s="38">
        <f ca="1">IF(COUNTIF(W88:$AL$88,"&lt;0")=0,W6,999)</f>
        <v>999</v>
      </c>
      <c r="X89" s="38">
        <f ca="1">IF(COUNTIF(X88:$AL$88,"&lt;0")=0,X6,999)</f>
        <v>999</v>
      </c>
      <c r="Y89" s="38">
        <f ca="1">IF(COUNTIF(Y88:$AL$88,"&lt;0")=0,Y6,999)</f>
        <v>999</v>
      </c>
      <c r="Z89" s="38">
        <f ca="1">IF(COUNTIF(Z88:$AL$88,"&lt;0")=0,Z6,999)</f>
        <v>999</v>
      </c>
      <c r="AA89" s="38">
        <f ca="1">IF(COUNTIF(AA88:$AL$88,"&lt;0")=0,AA6,999)</f>
        <v>25</v>
      </c>
      <c r="AB89" s="38">
        <f ca="1">IF(COUNTIF(AB88:$AL$88,"&lt;0")=0,AB6,999)</f>
        <v>26</v>
      </c>
      <c r="AC89" s="38">
        <f ca="1">IF(COUNTIF(AC88:$AL$88,"&lt;0")=0,AC6,999)</f>
        <v>27</v>
      </c>
      <c r="AD89" s="38">
        <f ca="1">IF(COUNTIF(AD88:$AL$88,"&lt;0")=0,AD6,999)</f>
        <v>28</v>
      </c>
      <c r="AE89" s="38">
        <f ca="1">IF(COUNTIF(AE88:$AL$88,"&lt;0")=0,AE6,999)</f>
        <v>29</v>
      </c>
      <c r="AF89" s="38">
        <f ca="1">IF(COUNTIF(AF88:$AL$88,"&lt;0")=0,AF6,999)</f>
        <v>30</v>
      </c>
      <c r="AG89" s="38">
        <f ca="1">IF(COUNTIF(AG88:$AL$88,"&lt;0")=0,AG6,999)</f>
        <v>31</v>
      </c>
      <c r="AH89" s="38">
        <f ca="1">IF(COUNTIF(AH88:$AL$88,"&lt;0")=0,AH6,999)</f>
        <v>32</v>
      </c>
      <c r="AI89" s="38">
        <f ca="1">IF(COUNTIF(AI88:$AL$88,"&lt;0")=0,AI6,999)</f>
        <v>33</v>
      </c>
      <c r="AJ89" s="38">
        <f ca="1">IF(COUNTIF(AJ88:$AL$88,"&lt;0")=0,AJ6,999)</f>
        <v>34</v>
      </c>
      <c r="AK89" s="38">
        <f ca="1">IF(COUNTIF(AK88:$AL$88,"&lt;0")=0,AK6,999)</f>
        <v>35</v>
      </c>
      <c r="AL89" s="38">
        <f ca="1">IF(COUNTIF(AL88:$AL$88,"&lt;0")=0,AL6,999)</f>
        <v>36</v>
      </c>
    </row>
    <row r="91" spans="1:38" x14ac:dyDescent="0.25">
      <c r="A91" s="5" t="s">
        <v>47</v>
      </c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</row>
    <row r="92" spans="1:38" x14ac:dyDescent="0.25">
      <c r="A92" s="2" t="s">
        <v>361</v>
      </c>
      <c r="C92" s="12">
        <f ca="1">C55*Assumptions!$B$107</f>
        <v>10000</v>
      </c>
      <c r="D92" s="12">
        <f ca="1">D55*Assumptions!$B$107</f>
        <v>2333.3333333333335</v>
      </c>
      <c r="E92" s="12">
        <f ca="1">E55*Assumptions!$B$107</f>
        <v>-3333.3333333333339</v>
      </c>
      <c r="F92" s="12">
        <f ca="1">F55*Assumptions!$B$107</f>
        <v>666.66666666666674</v>
      </c>
      <c r="G92" s="12">
        <f ca="1">G55*Assumptions!$B$107</f>
        <v>3000</v>
      </c>
      <c r="H92" s="12">
        <f ca="1">H55*Assumptions!$B$107</f>
        <v>3000</v>
      </c>
      <c r="I92" s="12">
        <f ca="1">I55*Assumptions!$B$107</f>
        <v>-666.66666666666663</v>
      </c>
      <c r="J92" s="12">
        <f ca="1">J55*Assumptions!$B$107</f>
        <v>3666.6666666666674</v>
      </c>
      <c r="K92" s="12">
        <f ca="1">K55*Assumptions!$B$107</f>
        <v>3166.666666666667</v>
      </c>
      <c r="L92" s="12">
        <f ca="1">L55*Assumptions!$B$107</f>
        <v>5916.6666666666679</v>
      </c>
      <c r="M92" s="12">
        <f ca="1">M55*Assumptions!$B$107</f>
        <v>3916.6666666666674</v>
      </c>
      <c r="N92" s="12">
        <f ca="1">N55*Assumptions!$B$107</f>
        <v>4250</v>
      </c>
      <c r="O92" s="12">
        <f ca="1">O55*Assumptions!$B$107</f>
        <v>8583.3333333333339</v>
      </c>
      <c r="P92" s="12">
        <f ca="1">P55*Assumptions!$B$107</f>
        <v>8916.6666666666679</v>
      </c>
      <c r="Q92" s="12">
        <f ca="1">Q55*Assumptions!$B$107</f>
        <v>10000</v>
      </c>
      <c r="R92" s="12">
        <f ca="1">R55*Assumptions!$B$107</f>
        <v>8000</v>
      </c>
      <c r="S92" s="12">
        <f ca="1">S55*Assumptions!$B$107</f>
        <v>8333.3333333333339</v>
      </c>
      <c r="T92" s="12">
        <f ca="1">T55*Assumptions!$B$107</f>
        <v>9750</v>
      </c>
      <c r="U92" s="12">
        <f ca="1">U55*Assumptions!$B$107</f>
        <v>10083.333333333336</v>
      </c>
      <c r="V92" s="12">
        <f ca="1">V55*Assumptions!$B$107</f>
        <v>12750</v>
      </c>
      <c r="W92" s="12">
        <f ca="1">W55*Assumptions!$B$107</f>
        <v>11083.333333333336</v>
      </c>
      <c r="X92" s="12">
        <f ca="1">X55*Assumptions!$B$107</f>
        <v>12166.666666666666</v>
      </c>
      <c r="Y92" s="12">
        <f ca="1">Y55*Assumptions!$B$107</f>
        <v>11583.333333333336</v>
      </c>
      <c r="Z92" s="12">
        <f ca="1">Z55*Assumptions!$B$107</f>
        <v>15583.333333333336</v>
      </c>
      <c r="AA92" s="12">
        <f ca="1">AA55*Assumptions!$B$107</f>
        <v>21750</v>
      </c>
      <c r="AB92" s="12">
        <f ca="1">AB55*Assumptions!$B$107</f>
        <v>20083.333333333332</v>
      </c>
      <c r="AC92" s="12">
        <f ca="1">AC55*Assumptions!$B$107</f>
        <v>21500</v>
      </c>
      <c r="AD92" s="12">
        <f ca="1">AD55*Assumptions!$B$107</f>
        <v>20916.666666666672</v>
      </c>
      <c r="AE92" s="12">
        <f ca="1">AE55*Assumptions!$B$107</f>
        <v>26000</v>
      </c>
      <c r="AF92" s="12">
        <f ca="1">AF55*Assumptions!$B$107</f>
        <v>22666.666666666672</v>
      </c>
      <c r="AG92" s="12">
        <f ca="1">AG55*Assumptions!$B$107</f>
        <v>25000</v>
      </c>
      <c r="AH92" s="12">
        <f ca="1">AH55*Assumptions!$B$107</f>
        <v>26750</v>
      </c>
      <c r="AI92" s="12">
        <f ca="1">AI55*Assumptions!$B$107</f>
        <v>26583.333333333332</v>
      </c>
      <c r="AJ92" s="12">
        <f ca="1">AJ55*Assumptions!$B$107</f>
        <v>30000</v>
      </c>
      <c r="AK92" s="12">
        <f ca="1">AK55*Assumptions!$B$107</f>
        <v>31416.666666666672</v>
      </c>
      <c r="AL92" s="12">
        <f ca="1">AL55*Assumptions!$B$107</f>
        <v>33833.333333333336</v>
      </c>
    </row>
    <row r="93" spans="1:38" x14ac:dyDescent="0.25">
      <c r="A93" s="2" t="s">
        <v>362</v>
      </c>
      <c r="C93" s="12">
        <f ca="1">(C77+C84)*Assumptions!$B$108*Assumptions!$B$107</f>
        <v>1630</v>
      </c>
      <c r="D93" s="12">
        <f ca="1">(D77+D84)*Assumptions!$B$108*Assumptions!$B$107</f>
        <v>1790</v>
      </c>
      <c r="E93" s="12">
        <f ca="1">(E77+E84)*Assumptions!$B$108*Assumptions!$B$107</f>
        <v>2860</v>
      </c>
      <c r="F93" s="12">
        <f ca="1">(F77+F84)*Assumptions!$B$108*Assumptions!$B$107</f>
        <v>1650</v>
      </c>
      <c r="G93" s="12">
        <f ca="1">(G77+G84)*Assumptions!$B$108*Assumptions!$B$107</f>
        <v>2810</v>
      </c>
      <c r="H93" s="12">
        <f ca="1">(H77+H84)*Assumptions!$B$108*Assumptions!$B$107</f>
        <v>1860</v>
      </c>
      <c r="I93" s="12">
        <f ca="1">(I77+I84)*Assumptions!$B$108*Assumptions!$B$107</f>
        <v>1320</v>
      </c>
      <c r="J93" s="12">
        <f ca="1">(J77+J84)*Assumptions!$B$108*Assumptions!$B$107</f>
        <v>1830</v>
      </c>
      <c r="K93" s="12">
        <f ca="1">(K77+K84)*Assumptions!$B$108*Assumptions!$B$107</f>
        <v>4580</v>
      </c>
      <c r="L93" s="12">
        <f ca="1">(L77+L84)*Assumptions!$B$108*Assumptions!$B$107</f>
        <v>3330</v>
      </c>
      <c r="M93" s="12">
        <f ca="1">(M77+M84)*Assumptions!$B$108*Assumptions!$B$107</f>
        <v>1530</v>
      </c>
      <c r="N93" s="12">
        <f ca="1">(N77+N84)*Assumptions!$B$108*Assumptions!$B$107</f>
        <v>2190</v>
      </c>
      <c r="O93" s="12">
        <f ca="1">(O77+O84)*Assumptions!$B$108*Assumptions!$B$107</f>
        <v>2900</v>
      </c>
      <c r="P93" s="12">
        <f ca="1">(P77+P84)*Assumptions!$B$108*Assumptions!$B$107</f>
        <v>2910</v>
      </c>
      <c r="Q93" s="12">
        <f ca="1">(Q77+Q84)*Assumptions!$B$108*Assumptions!$B$107</f>
        <v>6030</v>
      </c>
      <c r="R93" s="12">
        <f ca="1">(R77+R84)*Assumptions!$B$108*Assumptions!$B$107</f>
        <v>2970</v>
      </c>
      <c r="S93" s="12">
        <f ca="1">(S77+S84)*Assumptions!$B$108*Assumptions!$B$107</f>
        <v>3980</v>
      </c>
      <c r="T93" s="12">
        <f ca="1">(T77+T84)*Assumptions!$B$108*Assumptions!$B$107</f>
        <v>4400</v>
      </c>
      <c r="U93" s="12">
        <f ca="1">(U77+U84)*Assumptions!$B$108*Assumptions!$B$107</f>
        <v>3060</v>
      </c>
      <c r="V93" s="12">
        <f ca="1">(V77+V84)*Assumptions!$B$108*Assumptions!$B$107</f>
        <v>3730</v>
      </c>
      <c r="W93" s="12">
        <f ca="1">(W77+W84)*Assumptions!$B$108*Assumptions!$B$107</f>
        <v>3690</v>
      </c>
      <c r="X93" s="12">
        <f ca="1">(X77+X84)*Assumptions!$B$108*Assumptions!$B$107</f>
        <v>4450</v>
      </c>
      <c r="Y93" s="12">
        <f ca="1">(Y77+Y84)*Assumptions!$B$108*Assumptions!$B$107</f>
        <v>4370</v>
      </c>
      <c r="Z93" s="12">
        <f ca="1">(Z77+Z84)*Assumptions!$B$108*Assumptions!$B$107</f>
        <v>6370</v>
      </c>
      <c r="AA93" s="12">
        <f ca="1">(AA77+AA84)*Assumptions!$B$108*Assumptions!$B$107</f>
        <v>6840</v>
      </c>
      <c r="AB93" s="12">
        <f ca="1">(AB77+AB84)*Assumptions!$B$108*Assumptions!$B$107</f>
        <v>4200</v>
      </c>
      <c r="AC93" s="12">
        <f ca="1">(AC77+AC84)*Assumptions!$B$108*Assumptions!$B$107</f>
        <v>7080</v>
      </c>
      <c r="AD93" s="12">
        <f ca="1">(AD77+AD84)*Assumptions!$B$108*Assumptions!$B$107</f>
        <v>5590</v>
      </c>
      <c r="AE93" s="12">
        <f ca="1">(AE77+AE84)*Assumptions!$B$108*Assumptions!$B$107</f>
        <v>7150</v>
      </c>
      <c r="AF93" s="12">
        <f ca="1">(AF77+AF84)*Assumptions!$B$108*Assumptions!$B$107</f>
        <v>5870</v>
      </c>
      <c r="AG93" s="12">
        <f ca="1">(AG77+AG84)*Assumptions!$B$108*Assumptions!$B$107</f>
        <v>4530</v>
      </c>
      <c r="AH93" s="12">
        <f ca="1">(AH77+AH84)*Assumptions!$B$108*Assumptions!$B$107</f>
        <v>6410</v>
      </c>
      <c r="AI93" s="12">
        <f ca="1">(AI77+AI84)*Assumptions!$B$108*Assumptions!$B$107</f>
        <v>7470</v>
      </c>
      <c r="AJ93" s="12">
        <f ca="1">(AJ77+AJ84)*Assumptions!$B$108*Assumptions!$B$107</f>
        <v>6240</v>
      </c>
      <c r="AK93" s="12">
        <f ca="1">(AK77+AK84)*Assumptions!$B$108*Assumptions!$B$107</f>
        <v>6560</v>
      </c>
      <c r="AL93" s="12">
        <f ca="1">(AL77+AL84)*Assumptions!$B$108*Assumptions!$B$107</f>
        <v>9270</v>
      </c>
    </row>
    <row r="94" spans="1:38" x14ac:dyDescent="0.25">
      <c r="A94" s="2" t="s">
        <v>363</v>
      </c>
      <c r="C94" s="12">
        <f t="shared" ref="C94:AL94" ca="1" si="33">C92-C93</f>
        <v>8370</v>
      </c>
      <c r="D94" s="12">
        <f t="shared" ca="1" si="33"/>
        <v>543.33333333333348</v>
      </c>
      <c r="E94" s="12">
        <f t="shared" ca="1" si="33"/>
        <v>-6193.3333333333339</v>
      </c>
      <c r="F94" s="12">
        <f t="shared" ca="1" si="33"/>
        <v>-983.33333333333326</v>
      </c>
      <c r="G94" s="12">
        <f t="shared" ca="1" si="33"/>
        <v>190</v>
      </c>
      <c r="H94" s="12">
        <f t="shared" ca="1" si="33"/>
        <v>1140</v>
      </c>
      <c r="I94" s="12">
        <f t="shared" ca="1" si="33"/>
        <v>-1986.6666666666665</v>
      </c>
      <c r="J94" s="12">
        <f t="shared" ca="1" si="33"/>
        <v>1836.6666666666674</v>
      </c>
      <c r="K94" s="12">
        <f t="shared" ca="1" si="33"/>
        <v>-1413.333333333333</v>
      </c>
      <c r="L94" s="12">
        <f t="shared" ca="1" si="33"/>
        <v>2586.6666666666679</v>
      </c>
      <c r="M94" s="12">
        <f t="shared" ca="1" si="33"/>
        <v>2386.6666666666674</v>
      </c>
      <c r="N94" s="12">
        <f t="shared" ca="1" si="33"/>
        <v>2060</v>
      </c>
      <c r="O94" s="12">
        <f t="shared" ca="1" si="33"/>
        <v>5683.3333333333339</v>
      </c>
      <c r="P94" s="12">
        <f t="shared" ca="1" si="33"/>
        <v>6006.6666666666679</v>
      </c>
      <c r="Q94" s="12">
        <f t="shared" ca="1" si="33"/>
        <v>3970</v>
      </c>
      <c r="R94" s="12">
        <f t="shared" ca="1" si="33"/>
        <v>5030</v>
      </c>
      <c r="S94" s="12">
        <f t="shared" ca="1" si="33"/>
        <v>4353.3333333333339</v>
      </c>
      <c r="T94" s="12">
        <f t="shared" ca="1" si="33"/>
        <v>5350</v>
      </c>
      <c r="U94" s="12">
        <f t="shared" ca="1" si="33"/>
        <v>7023.3333333333358</v>
      </c>
      <c r="V94" s="12">
        <f t="shared" ca="1" si="33"/>
        <v>9020</v>
      </c>
      <c r="W94" s="12">
        <f t="shared" ca="1" si="33"/>
        <v>7393.3333333333358</v>
      </c>
      <c r="X94" s="12">
        <f t="shared" ca="1" si="33"/>
        <v>7716.6666666666661</v>
      </c>
      <c r="Y94" s="12">
        <f t="shared" ca="1" si="33"/>
        <v>7213.3333333333358</v>
      </c>
      <c r="Z94" s="12">
        <f t="shared" ca="1" si="33"/>
        <v>9213.3333333333358</v>
      </c>
      <c r="AA94" s="12">
        <f t="shared" ca="1" si="33"/>
        <v>14910</v>
      </c>
      <c r="AB94" s="12">
        <f t="shared" ca="1" si="33"/>
        <v>15883.333333333332</v>
      </c>
      <c r="AC94" s="12">
        <f t="shared" ca="1" si="33"/>
        <v>14420</v>
      </c>
      <c r="AD94" s="12">
        <f t="shared" ca="1" si="33"/>
        <v>15326.666666666672</v>
      </c>
      <c r="AE94" s="12">
        <f t="shared" ca="1" si="33"/>
        <v>18850</v>
      </c>
      <c r="AF94" s="12">
        <f t="shared" ca="1" si="33"/>
        <v>16796.666666666672</v>
      </c>
      <c r="AG94" s="12">
        <f t="shared" ca="1" si="33"/>
        <v>20470</v>
      </c>
      <c r="AH94" s="12">
        <f t="shared" ca="1" si="33"/>
        <v>20340</v>
      </c>
      <c r="AI94" s="12">
        <f t="shared" ca="1" si="33"/>
        <v>19113.333333333332</v>
      </c>
      <c r="AJ94" s="12">
        <f t="shared" ca="1" si="33"/>
        <v>23760</v>
      </c>
      <c r="AK94" s="12">
        <f t="shared" ca="1" si="33"/>
        <v>24856.666666666672</v>
      </c>
      <c r="AL94" s="12">
        <f t="shared" ca="1" si="33"/>
        <v>24563.333333333336</v>
      </c>
    </row>
    <row r="95" spans="1:38" x14ac:dyDescent="0.25">
      <c r="A95" s="2" t="s">
        <v>364</v>
      </c>
      <c r="C95" s="12">
        <f t="shared" ref="C95:AL95" ca="1" si="34">IF(AND(C6&gt;3,MOD(C6,3)=1),SUM(OFFSET(C94,0,-3,1,3)),0)</f>
        <v>0</v>
      </c>
      <c r="D95" s="12">
        <f t="shared" ca="1" si="34"/>
        <v>0</v>
      </c>
      <c r="E95" s="12">
        <f t="shared" ca="1" si="34"/>
        <v>0</v>
      </c>
      <c r="F95" s="12">
        <f t="shared" ca="1" si="34"/>
        <v>2720</v>
      </c>
      <c r="G95" s="12">
        <f t="shared" ca="1" si="34"/>
        <v>0</v>
      </c>
      <c r="H95" s="12">
        <f t="shared" ca="1" si="34"/>
        <v>0</v>
      </c>
      <c r="I95" s="12">
        <f t="shared" ca="1" si="34"/>
        <v>346.66666666666674</v>
      </c>
      <c r="J95" s="12">
        <f t="shared" ca="1" si="34"/>
        <v>0</v>
      </c>
      <c r="K95" s="12">
        <f t="shared" ca="1" si="34"/>
        <v>0</v>
      </c>
      <c r="L95" s="12">
        <f t="shared" ca="1" si="34"/>
        <v>-1563.3333333333321</v>
      </c>
      <c r="M95" s="12">
        <f t="shared" ca="1" si="34"/>
        <v>0</v>
      </c>
      <c r="N95" s="12">
        <f t="shared" ca="1" si="34"/>
        <v>0</v>
      </c>
      <c r="O95" s="12">
        <f t="shared" ca="1" si="34"/>
        <v>7033.3333333333358</v>
      </c>
      <c r="P95" s="12">
        <f t="shared" ca="1" si="34"/>
        <v>0</v>
      </c>
      <c r="Q95" s="12">
        <f t="shared" ca="1" si="34"/>
        <v>0</v>
      </c>
      <c r="R95" s="12">
        <f t="shared" ca="1" si="34"/>
        <v>15660.000000000002</v>
      </c>
      <c r="S95" s="12">
        <f t="shared" ca="1" si="34"/>
        <v>0</v>
      </c>
      <c r="T95" s="12">
        <f t="shared" ca="1" si="34"/>
        <v>0</v>
      </c>
      <c r="U95" s="12">
        <f t="shared" ca="1" si="34"/>
        <v>14733.333333333334</v>
      </c>
      <c r="V95" s="12">
        <f t="shared" ca="1" si="34"/>
        <v>0</v>
      </c>
      <c r="W95" s="12">
        <f t="shared" ca="1" si="34"/>
        <v>0</v>
      </c>
      <c r="X95" s="12">
        <f t="shared" ca="1" si="34"/>
        <v>23436.666666666672</v>
      </c>
      <c r="Y95" s="12">
        <f t="shared" ca="1" si="34"/>
        <v>0</v>
      </c>
      <c r="Z95" s="12">
        <f t="shared" ca="1" si="34"/>
        <v>0</v>
      </c>
      <c r="AA95" s="12">
        <f t="shared" ca="1" si="34"/>
        <v>24143.333333333336</v>
      </c>
      <c r="AB95" s="12">
        <f t="shared" ca="1" si="34"/>
        <v>0</v>
      </c>
      <c r="AC95" s="12">
        <f t="shared" ca="1" si="34"/>
        <v>0</v>
      </c>
      <c r="AD95" s="12">
        <f t="shared" ca="1" si="34"/>
        <v>45213.333333333328</v>
      </c>
      <c r="AE95" s="12">
        <f t="shared" ca="1" si="34"/>
        <v>0</v>
      </c>
      <c r="AF95" s="12">
        <f t="shared" ca="1" si="34"/>
        <v>0</v>
      </c>
      <c r="AG95" s="12">
        <f t="shared" ca="1" si="34"/>
        <v>50973.333333333343</v>
      </c>
      <c r="AH95" s="12">
        <f t="shared" ca="1" si="34"/>
        <v>0</v>
      </c>
      <c r="AI95" s="12">
        <f t="shared" ca="1" si="34"/>
        <v>0</v>
      </c>
      <c r="AJ95" s="12">
        <f t="shared" ca="1" si="34"/>
        <v>59923.333333333328</v>
      </c>
      <c r="AK95" s="12">
        <f t="shared" ca="1" si="34"/>
        <v>0</v>
      </c>
      <c r="AL95" s="12">
        <f t="shared" ca="1" si="34"/>
        <v>0</v>
      </c>
    </row>
    <row r="96" spans="1:38" x14ac:dyDescent="0.25">
      <c r="A96" s="2" t="s">
        <v>365</v>
      </c>
      <c r="C96" s="12">
        <f>IF(C6=12+Assumptions!$B$110,$C$106,0)+IF(C6=24+Assumptions!$B$110,$D$106,0)</f>
        <v>0</v>
      </c>
      <c r="D96" s="12">
        <f>IF(D6=12+Assumptions!$B$110,$C$106,0)+IF(D6=24+Assumptions!$B$110,$D$106,0)</f>
        <v>0</v>
      </c>
      <c r="E96" s="12">
        <f>IF(E6=12+Assumptions!$B$110,$C$106,0)+IF(E6=24+Assumptions!$B$110,$D$106,0)</f>
        <v>0</v>
      </c>
      <c r="F96" s="12">
        <f>IF(F6=12+Assumptions!$B$110,$C$106,0)+IF(F6=24+Assumptions!$B$110,$D$106,0)</f>
        <v>0</v>
      </c>
      <c r="G96" s="12">
        <f>IF(G6=12+Assumptions!$B$110,$C$106,0)+IF(G6=24+Assumptions!$B$110,$D$106,0)</f>
        <v>0</v>
      </c>
      <c r="H96" s="12">
        <f>IF(H6=12+Assumptions!$B$110,$C$106,0)+IF(H6=24+Assumptions!$B$110,$D$106,0)</f>
        <v>0</v>
      </c>
      <c r="I96" s="12">
        <f>IF(I6=12+Assumptions!$B$110,$C$106,0)+IF(I6=24+Assumptions!$B$110,$D$106,0)</f>
        <v>0</v>
      </c>
      <c r="J96" s="12">
        <f>IF(J6=12+Assumptions!$B$110,$C$106,0)+IF(J6=24+Assumptions!$B$110,$D$106,0)</f>
        <v>0</v>
      </c>
      <c r="K96" s="12">
        <f>IF(K6=12+Assumptions!$B$110,$C$106,0)+IF(K6=24+Assumptions!$B$110,$D$106,0)</f>
        <v>0</v>
      </c>
      <c r="L96" s="12">
        <f>IF(L6=12+Assumptions!$B$110,$C$106,0)+IF(L6=24+Assumptions!$B$110,$D$106,0)</f>
        <v>0</v>
      </c>
      <c r="M96" s="12">
        <f>IF(M6=12+Assumptions!$B$110,$C$106,0)+IF(M6=24+Assumptions!$B$110,$D$106,0)</f>
        <v>0</v>
      </c>
      <c r="N96" s="12">
        <f>IF(N6=12+Assumptions!$B$110,$C$106,0)+IF(N6=24+Assumptions!$B$110,$D$106,0)</f>
        <v>0</v>
      </c>
      <c r="O96" s="12">
        <f>IF(O6=12+Assumptions!$B$110,$C$106,0)+IF(O6=24+Assumptions!$B$110,$D$106,0)</f>
        <v>0</v>
      </c>
      <c r="P96" s="12">
        <f>IF(P6=12+Assumptions!$B$110,$C$106,0)+IF(P6=24+Assumptions!$B$110,$D$106,0)</f>
        <v>0</v>
      </c>
      <c r="Q96" s="12">
        <f>IF(Q6=12+Assumptions!$B$110,$C$106,0)+IF(Q6=24+Assumptions!$B$110,$D$106,0)</f>
        <v>0</v>
      </c>
      <c r="R96" s="12">
        <f>IF(R6=12+Assumptions!$B$110,$C$106,0)+IF(R6=24+Assumptions!$B$110,$D$106,0)</f>
        <v>0</v>
      </c>
      <c r="S96" s="12">
        <f>IF(S6=12+Assumptions!$B$110,$C$106,0)+IF(S6=24+Assumptions!$B$110,$D$106,0)</f>
        <v>0</v>
      </c>
      <c r="T96" s="12">
        <f>IF(T6=12+Assumptions!$B$110,$C$106,0)+IF(T6=24+Assumptions!$B$110,$D$106,0)</f>
        <v>0</v>
      </c>
      <c r="U96" s="12">
        <f>IF(U6=12+Assumptions!$B$110,$C$106,0)+IF(U6=24+Assumptions!$B$110,$D$106,0)</f>
        <v>0</v>
      </c>
      <c r="V96" s="12">
        <f>IF(V6=12+Assumptions!$B$110,$C$106,0)+IF(V6=24+Assumptions!$B$110,$D$106,0)</f>
        <v>0</v>
      </c>
      <c r="W96" s="12">
        <f>IF(W6=12+Assumptions!$B$110,$C$106,0)+IF(W6=24+Assumptions!$B$110,$D$106,0)</f>
        <v>0</v>
      </c>
      <c r="X96" s="12">
        <f ca="1">IF(X6=12+Assumptions!$B$110,$C$106,0)+IF(X6=24+Assumptions!$B$110,$D$106,0)</f>
        <v>0</v>
      </c>
      <c r="Y96" s="12">
        <f>IF(Y6=12+Assumptions!$B$110,$C$106,0)+IF(Y6=24+Assumptions!$B$110,$D$106,0)</f>
        <v>0</v>
      </c>
      <c r="Z96" s="12">
        <f>IF(Z6=12+Assumptions!$B$110,$C$106,0)+IF(Z6=24+Assumptions!$B$110,$D$106,0)</f>
        <v>0</v>
      </c>
      <c r="AA96" s="12">
        <f>IF(AA6=12+Assumptions!$B$110,$C$106,0)+IF(AA6=24+Assumptions!$B$110,$D$106,0)</f>
        <v>0</v>
      </c>
      <c r="AB96" s="12">
        <f>IF(AB6=12+Assumptions!$B$110,$C$106,0)+IF(AB6=24+Assumptions!$B$110,$D$106,0)</f>
        <v>0</v>
      </c>
      <c r="AC96" s="12">
        <f>IF(AC6=12+Assumptions!$B$110,$C$106,0)+IF(AC6=24+Assumptions!$B$110,$D$106,0)</f>
        <v>0</v>
      </c>
      <c r="AD96" s="12">
        <f>IF(AD6=12+Assumptions!$B$110,$C$106,0)+IF(AD6=24+Assumptions!$B$110,$D$106,0)</f>
        <v>0</v>
      </c>
      <c r="AE96" s="12">
        <f>IF(AE6=12+Assumptions!$B$110,$C$106,0)+IF(AE6=24+Assumptions!$B$110,$D$106,0)</f>
        <v>0</v>
      </c>
      <c r="AF96" s="12">
        <f>IF(AF6=12+Assumptions!$B$110,$C$106,0)+IF(AF6=24+Assumptions!$B$110,$D$106,0)</f>
        <v>0</v>
      </c>
      <c r="AG96" s="12">
        <f>IF(AG6=12+Assumptions!$B$110,$C$106,0)+IF(AG6=24+Assumptions!$B$110,$D$106,0)</f>
        <v>0</v>
      </c>
      <c r="AH96" s="12">
        <f>IF(AH6=12+Assumptions!$B$110,$C$106,0)+IF(AH6=24+Assumptions!$B$110,$D$106,0)</f>
        <v>0</v>
      </c>
      <c r="AI96" s="12">
        <f>IF(AI6=12+Assumptions!$B$110,$C$106,0)+IF(AI6=24+Assumptions!$B$110,$D$106,0)</f>
        <v>0</v>
      </c>
      <c r="AJ96" s="12">
        <f ca="1">IF(AJ6=12+Assumptions!$B$110,$C$106,0)+IF(AJ6=24+Assumptions!$B$110,$D$106,0)</f>
        <v>0</v>
      </c>
      <c r="AK96" s="12">
        <f>IF(AK6=12+Assumptions!$B$110,$C$106,0)+IF(AK6=24+Assumptions!$B$110,$D$106,0)</f>
        <v>0</v>
      </c>
      <c r="AL96" s="12">
        <f>IF(AL6=12+Assumptions!$B$110,$C$106,0)+IF(AL6=24+Assumptions!$B$110,$D$106,0)</f>
        <v>0</v>
      </c>
    </row>
    <row r="97" spans="1:38" x14ac:dyDescent="0.25">
      <c r="A97" s="3" t="s">
        <v>366</v>
      </c>
      <c r="C97" s="42">
        <f t="shared" ref="C97:AL97" ca="1" si="35">C88+C92-C93-C95-C96</f>
        <v>23811.666666666672</v>
      </c>
      <c r="D97" s="42">
        <f t="shared" ca="1" si="35"/>
        <v>-25148.333333333332</v>
      </c>
      <c r="E97" s="42">
        <f t="shared" ca="1" si="35"/>
        <v>-65568.333333333343</v>
      </c>
      <c r="F97" s="42">
        <f t="shared" ca="1" si="35"/>
        <v>-35028.333333333328</v>
      </c>
      <c r="G97" s="42">
        <f t="shared" ca="1" si="35"/>
        <v>-27268.333333333328</v>
      </c>
      <c r="H97" s="42">
        <f t="shared" ca="1" si="35"/>
        <v>-19568.333333333328</v>
      </c>
      <c r="I97" s="42">
        <f t="shared" ca="1" si="35"/>
        <v>-40674.999999999993</v>
      </c>
      <c r="J97" s="42">
        <f t="shared" ca="1" si="35"/>
        <v>-17388.333333333325</v>
      </c>
      <c r="K97" s="42">
        <f t="shared" ca="1" si="35"/>
        <v>-49234.166666666664</v>
      </c>
      <c r="L97" s="42">
        <f t="shared" ca="1" si="35"/>
        <v>-19170.833333333328</v>
      </c>
      <c r="M97" s="42">
        <f t="shared" ca="1" si="35"/>
        <v>-17434.166666666661</v>
      </c>
      <c r="N97" s="42">
        <f t="shared" ca="1" si="35"/>
        <v>-21394.166666666664</v>
      </c>
      <c r="O97" s="42">
        <f t="shared" ca="1" si="35"/>
        <v>-12033.333333333338</v>
      </c>
      <c r="P97" s="42">
        <f t="shared" ca="1" si="35"/>
        <v>-3059.9999999999964</v>
      </c>
      <c r="Q97" s="42">
        <f t="shared" ca="1" si="35"/>
        <v>-19780</v>
      </c>
      <c r="R97" s="42">
        <f t="shared" ca="1" si="35"/>
        <v>-24580</v>
      </c>
      <c r="S97" s="42">
        <f t="shared" ca="1" si="35"/>
        <v>-12979.999999999995</v>
      </c>
      <c r="T97" s="42">
        <f t="shared" ca="1" si="35"/>
        <v>-13500</v>
      </c>
      <c r="U97" s="42">
        <f t="shared" ca="1" si="35"/>
        <v>-11693.333333333327</v>
      </c>
      <c r="V97" s="42">
        <f t="shared" ca="1" si="35"/>
        <v>13020</v>
      </c>
      <c r="W97" s="42">
        <f t="shared" ca="1" si="35"/>
        <v>5260.0000000000073</v>
      </c>
      <c r="X97" s="42">
        <f t="shared" ca="1" si="35"/>
        <v>-20736.666666666679</v>
      </c>
      <c r="Y97" s="42">
        <f t="shared" ca="1" si="35"/>
        <v>-2319.9999999999927</v>
      </c>
      <c r="Z97" s="42">
        <f t="shared" ca="1" si="35"/>
        <v>4180.0000000000073</v>
      </c>
      <c r="AA97" s="42">
        <f t="shared" ca="1" si="35"/>
        <v>9870.8333333333358</v>
      </c>
      <c r="AB97" s="42">
        <f t="shared" ca="1" si="35"/>
        <v>50854.166666666657</v>
      </c>
      <c r="AC97" s="42">
        <f t="shared" ca="1" si="35"/>
        <v>23899.166666666672</v>
      </c>
      <c r="AD97" s="42">
        <f t="shared" ca="1" si="35"/>
        <v>-15874.166666666642</v>
      </c>
      <c r="AE97" s="42">
        <f t="shared" ca="1" si="35"/>
        <v>50479.166666666672</v>
      </c>
      <c r="AF97" s="42">
        <f t="shared" ca="1" si="35"/>
        <v>38159.166666666686</v>
      </c>
      <c r="AG97" s="42">
        <f t="shared" ca="1" si="35"/>
        <v>15725.833333333328</v>
      </c>
      <c r="AH97" s="42">
        <f t="shared" ca="1" si="35"/>
        <v>57419.166666666672</v>
      </c>
      <c r="AI97" s="42">
        <f t="shared" ca="1" si="35"/>
        <v>47559.166666666657</v>
      </c>
      <c r="AJ97" s="42">
        <f t="shared" ca="1" si="35"/>
        <v>20015.833333333343</v>
      </c>
      <c r="AK97" s="42">
        <f t="shared" ca="1" si="35"/>
        <v>80681.666666666686</v>
      </c>
      <c r="AL97" s="42">
        <f t="shared" ca="1" si="35"/>
        <v>58921.666666666686</v>
      </c>
    </row>
    <row r="98" spans="1:38" x14ac:dyDescent="0.25">
      <c r="A98" s="2" t="s">
        <v>367</v>
      </c>
      <c r="C98" s="12">
        <f ca="1">0+C97</f>
        <v>23811.666666666672</v>
      </c>
      <c r="D98" s="12">
        <f t="shared" ref="D98:AL98" ca="1" si="36">C98+D97</f>
        <v>-1336.6666666666606</v>
      </c>
      <c r="E98" s="12">
        <f t="shared" ca="1" si="36"/>
        <v>-66905</v>
      </c>
      <c r="F98" s="12">
        <f t="shared" ca="1" si="36"/>
        <v>-101933.33333333333</v>
      </c>
      <c r="G98" s="12">
        <f t="shared" ca="1" si="36"/>
        <v>-129201.66666666666</v>
      </c>
      <c r="H98" s="12">
        <f t="shared" ca="1" si="36"/>
        <v>-148770</v>
      </c>
      <c r="I98" s="12">
        <f t="shared" ca="1" si="36"/>
        <v>-189445</v>
      </c>
      <c r="J98" s="12">
        <f t="shared" ca="1" si="36"/>
        <v>-206833.33333333331</v>
      </c>
      <c r="K98" s="12">
        <f t="shared" ca="1" si="36"/>
        <v>-256067.49999999997</v>
      </c>
      <c r="L98" s="12">
        <f t="shared" ca="1" si="36"/>
        <v>-275238.33333333331</v>
      </c>
      <c r="M98" s="12">
        <f t="shared" ca="1" si="36"/>
        <v>-292672.5</v>
      </c>
      <c r="N98" s="12">
        <f t="shared" ca="1" si="36"/>
        <v>-314066.66666666669</v>
      </c>
      <c r="O98" s="12">
        <f t="shared" ca="1" si="36"/>
        <v>-326100</v>
      </c>
      <c r="P98" s="12">
        <f t="shared" ca="1" si="36"/>
        <v>-329160</v>
      </c>
      <c r="Q98" s="12">
        <f t="shared" ca="1" si="36"/>
        <v>-348940</v>
      </c>
      <c r="R98" s="12">
        <f t="shared" ca="1" si="36"/>
        <v>-373520</v>
      </c>
      <c r="S98" s="12">
        <f t="shared" ca="1" si="36"/>
        <v>-386500</v>
      </c>
      <c r="T98" s="12">
        <f t="shared" ca="1" si="36"/>
        <v>-400000</v>
      </c>
      <c r="U98" s="12">
        <f t="shared" ca="1" si="36"/>
        <v>-411693.33333333331</v>
      </c>
      <c r="V98" s="12">
        <f t="shared" ca="1" si="36"/>
        <v>-398673.33333333331</v>
      </c>
      <c r="W98" s="12">
        <f t="shared" ca="1" si="36"/>
        <v>-393413.33333333331</v>
      </c>
      <c r="X98" s="12">
        <f t="shared" ca="1" si="36"/>
        <v>-414150</v>
      </c>
      <c r="Y98" s="12">
        <f t="shared" ca="1" si="36"/>
        <v>-416470</v>
      </c>
      <c r="Z98" s="12">
        <f t="shared" ca="1" si="36"/>
        <v>-412290</v>
      </c>
      <c r="AA98" s="12">
        <f t="shared" ca="1" si="36"/>
        <v>-402419.16666666669</v>
      </c>
      <c r="AB98" s="12">
        <f t="shared" ca="1" si="36"/>
        <v>-351565</v>
      </c>
      <c r="AC98" s="12">
        <f t="shared" ca="1" si="36"/>
        <v>-327665.83333333331</v>
      </c>
      <c r="AD98" s="12">
        <f t="shared" ca="1" si="36"/>
        <v>-343539.99999999994</v>
      </c>
      <c r="AE98" s="12">
        <f t="shared" ca="1" si="36"/>
        <v>-293060.83333333326</v>
      </c>
      <c r="AF98" s="12">
        <f t="shared" ca="1" si="36"/>
        <v>-254901.66666666657</v>
      </c>
      <c r="AG98" s="12">
        <f t="shared" ca="1" si="36"/>
        <v>-239175.83333333326</v>
      </c>
      <c r="AH98" s="12">
        <f t="shared" ca="1" si="36"/>
        <v>-181756.66666666657</v>
      </c>
      <c r="AI98" s="12">
        <f t="shared" ca="1" si="36"/>
        <v>-134197.49999999991</v>
      </c>
      <c r="AJ98" s="12">
        <f t="shared" ca="1" si="36"/>
        <v>-114181.66666666657</v>
      </c>
      <c r="AK98" s="12">
        <f t="shared" ca="1" si="36"/>
        <v>-33499.999999999884</v>
      </c>
      <c r="AL98" s="12">
        <f t="shared" ca="1" si="36"/>
        <v>25421.666666666802</v>
      </c>
    </row>
    <row r="99" spans="1:38" x14ac:dyDescent="0.25">
      <c r="A99" s="3" t="s">
        <v>368</v>
      </c>
      <c r="C99" s="42">
        <f ca="1">Assumptions!$B$113+Assumptions!$B$119+C98</f>
        <v>623811.66666666663</v>
      </c>
      <c r="D99" s="42">
        <f ca="1">Assumptions!$B$113+Assumptions!$B$119+D98</f>
        <v>598663.33333333337</v>
      </c>
      <c r="E99" s="42">
        <f ca="1">Assumptions!$B$113+Assumptions!$B$119+E98</f>
        <v>533095</v>
      </c>
      <c r="F99" s="42">
        <f ca="1">Assumptions!$B$113+Assumptions!$B$119+F98</f>
        <v>498066.66666666669</v>
      </c>
      <c r="G99" s="42">
        <f ca="1">Assumptions!$B$113+Assumptions!$B$119+G98</f>
        <v>470798.33333333337</v>
      </c>
      <c r="H99" s="42">
        <f ca="1">Assumptions!$B$113+Assumptions!$B$119+H98</f>
        <v>451230</v>
      </c>
      <c r="I99" s="42">
        <f ca="1">Assumptions!$B$113+Assumptions!$B$119+I98</f>
        <v>410555</v>
      </c>
      <c r="J99" s="42">
        <f ca="1">Assumptions!$B$113+Assumptions!$B$119+J98</f>
        <v>393166.66666666669</v>
      </c>
      <c r="K99" s="42">
        <f ca="1">Assumptions!$B$113+Assumptions!$B$119+K98</f>
        <v>343932.5</v>
      </c>
      <c r="L99" s="42">
        <f ca="1">Assumptions!$B$113+Assumptions!$B$119+L98</f>
        <v>324761.66666666669</v>
      </c>
      <c r="M99" s="42">
        <f ca="1">Assumptions!$B$113+Assumptions!$B$119+M98</f>
        <v>307327.5</v>
      </c>
      <c r="N99" s="42">
        <f ca="1">Assumptions!$B$113+Assumptions!$B$119+N98</f>
        <v>285933.33333333331</v>
      </c>
      <c r="O99" s="42">
        <f ca="1">Assumptions!$B$113+Assumptions!$B$119+O98</f>
        <v>273900</v>
      </c>
      <c r="P99" s="42">
        <f ca="1">Assumptions!$B$113+Assumptions!$B$119+P98</f>
        <v>270840</v>
      </c>
      <c r="Q99" s="42">
        <f ca="1">Assumptions!$B$113+Assumptions!$B$119+Q98</f>
        <v>251060</v>
      </c>
      <c r="R99" s="42">
        <f ca="1">Assumptions!$B$113+Assumptions!$B$119+R98</f>
        <v>226480</v>
      </c>
      <c r="S99" s="42">
        <f ca="1">Assumptions!$B$113+Assumptions!$B$119+S98</f>
        <v>213500</v>
      </c>
      <c r="T99" s="42">
        <f ca="1">Assumptions!$B$113+Assumptions!$B$119+T98</f>
        <v>200000</v>
      </c>
      <c r="U99" s="42">
        <f ca="1">Assumptions!$B$113+Assumptions!$B$119+U98</f>
        <v>188306.66666666669</v>
      </c>
      <c r="V99" s="42">
        <f ca="1">Assumptions!$B$113+Assumptions!$B$119+V98</f>
        <v>201326.66666666669</v>
      </c>
      <c r="W99" s="42">
        <f ca="1">Assumptions!$B$113+Assumptions!$B$119+W98</f>
        <v>206586.66666666669</v>
      </c>
      <c r="X99" s="42">
        <f ca="1">Assumptions!$B$113+Assumptions!$B$119+X98</f>
        <v>185850</v>
      </c>
      <c r="Y99" s="42">
        <f ca="1">Assumptions!$B$113+Assumptions!$B$119+Y98</f>
        <v>183530</v>
      </c>
      <c r="Z99" s="42">
        <f ca="1">Assumptions!$B$113+Assumptions!$B$119+Z98</f>
        <v>187710</v>
      </c>
      <c r="AA99" s="42">
        <f ca="1">Assumptions!$B$113+Assumptions!$B$119+AA98</f>
        <v>197580.83333333331</v>
      </c>
      <c r="AB99" s="42">
        <f ca="1">Assumptions!$B$113+Assumptions!$B$119+AB98</f>
        <v>248435</v>
      </c>
      <c r="AC99" s="42">
        <f ca="1">Assumptions!$B$113+Assumptions!$B$119+AC98</f>
        <v>272334.16666666669</v>
      </c>
      <c r="AD99" s="42">
        <f ca="1">Assumptions!$B$113+Assumptions!$B$119+AD98</f>
        <v>256460.00000000006</v>
      </c>
      <c r="AE99" s="42">
        <f ca="1">Assumptions!$B$113+Assumptions!$B$119+AE98</f>
        <v>306939.16666666674</v>
      </c>
      <c r="AF99" s="42">
        <f ca="1">Assumptions!$B$113+Assumptions!$B$119+AF98</f>
        <v>345098.33333333343</v>
      </c>
      <c r="AG99" s="42">
        <f ca="1">Assumptions!$B$113+Assumptions!$B$119+AG98</f>
        <v>360824.16666666674</v>
      </c>
      <c r="AH99" s="42">
        <f ca="1">Assumptions!$B$113+Assumptions!$B$119+AH98</f>
        <v>418243.33333333343</v>
      </c>
      <c r="AI99" s="42">
        <f ca="1">Assumptions!$B$113+Assumptions!$B$119+AI98</f>
        <v>465802.50000000012</v>
      </c>
      <c r="AJ99" s="42">
        <f ca="1">Assumptions!$B$113+Assumptions!$B$119+AJ98</f>
        <v>485818.33333333343</v>
      </c>
      <c r="AK99" s="42">
        <f ca="1">Assumptions!$B$113+Assumptions!$B$119+AK98</f>
        <v>566500.00000000012</v>
      </c>
      <c r="AL99" s="42">
        <f ca="1">Assumptions!$B$113+Assumptions!$B$119+AL98</f>
        <v>625421.66666666674</v>
      </c>
    </row>
    <row r="102" spans="1:38" x14ac:dyDescent="0.25">
      <c r="A102" s="5" t="s">
        <v>369</v>
      </c>
      <c r="B102" s="6"/>
      <c r="C102" s="6"/>
      <c r="D102" s="6"/>
      <c r="E102" s="6"/>
    </row>
    <row r="103" spans="1:38" x14ac:dyDescent="0.25">
      <c r="A103" s="3" t="s">
        <v>298</v>
      </c>
      <c r="C103" s="3" t="s">
        <v>20</v>
      </c>
      <c r="D103" s="3" t="s">
        <v>21</v>
      </c>
      <c r="E103" s="3" t="s">
        <v>22</v>
      </c>
    </row>
    <row r="104" spans="1:38" x14ac:dyDescent="0.25">
      <c r="A104" s="2" t="s">
        <v>370</v>
      </c>
      <c r="C104" s="12">
        <f ca="1">SUMIF($C$7:$AL$7,1,$C$88:$AL$88)</f>
        <v>-321099.99999999994</v>
      </c>
      <c r="D104" s="12">
        <f ca="1">SUMIF($C$7:$AL$7,2,$C$88:$AL$88)</f>
        <v>-115333.33333333331</v>
      </c>
      <c r="E104" s="12">
        <f ca="1">SUMIF($C$7:$AL$7,3,$C$88:$AL$88)</f>
        <v>388675.00000000012</v>
      </c>
    </row>
    <row r="105" spans="1:38" x14ac:dyDescent="0.25">
      <c r="A105" s="2" t="s">
        <v>371</v>
      </c>
      <c r="C105" s="12">
        <f ca="1">C104</f>
        <v>-321099.99999999994</v>
      </c>
      <c r="D105" s="12">
        <f ca="1">C105+D104</f>
        <v>-436433.33333333326</v>
      </c>
      <c r="E105" s="12">
        <f ca="1">D105+E104</f>
        <v>-47758.333333333139</v>
      </c>
    </row>
    <row r="106" spans="1:38" x14ac:dyDescent="0.25">
      <c r="A106" s="2" t="s">
        <v>372</v>
      </c>
      <c r="C106" s="12">
        <f ca="1">Assumptions!$B$109*(MAX(0,C105)-MAX(0,0))</f>
        <v>0</v>
      </c>
      <c r="D106" s="12">
        <f ca="1">Assumptions!$B$109*(MAX(0,D105)-MAX(0,C105))</f>
        <v>0</v>
      </c>
      <c r="E106" s="12">
        <f ca="1">Assumptions!$B$109*(MAX(0,E105)-MAX(0,D105))</f>
        <v>0</v>
      </c>
    </row>
    <row r="107" spans="1:38" x14ac:dyDescent="0.25">
      <c r="A107" s="4" t="s">
        <v>373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Read Me</vt:lpstr>
      <vt:lpstr>Summary</vt:lpstr>
      <vt:lpstr>Milestones</vt:lpstr>
      <vt:lpstr>Assumptions</vt:lpstr>
      <vt:lpstr>Model</vt:lpstr>
      <vt:lpstr>Model – Delay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George Unsworth</cp:lastModifiedBy>
  <cp:revision>0</cp:revision>
  <dcterms:created xsi:type="dcterms:W3CDTF">2026-10-16T12:54:28Z</dcterms:created>
  <dcterms:modified xsi:type="dcterms:W3CDTF">2026-10-16T13:59:18Z</dcterms:modified>
  <dc:language>en-US</dc:language>
</cp:coreProperties>
</file>